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140" tabRatio="800" activeTab="0"/>
  </bookViews>
  <sheets>
    <sheet name="Introduction" sheetId="1" r:id="rId1"/>
    <sheet name="Income" sheetId="2" r:id="rId2"/>
    <sheet name="Expenses" sheetId="3" r:id="rId3"/>
    <sheet name="AssetLiability" sheetId="4" r:id="rId4"/>
    <sheet name="Insurance" sheetId="5" r:id="rId5"/>
    <sheet name="Statements" sheetId="6" r:id="rId6"/>
    <sheet name="Ratio_Calc" sheetId="7" r:id="rId7"/>
    <sheet name="AccrualAdj" sheetId="8" r:id="rId8"/>
    <sheet name="Defaults" sheetId="9" r:id="rId9"/>
    <sheet name="CreditScoring" sheetId="10" r:id="rId10"/>
  </sheets>
  <definedNames>
    <definedName name="_Order1" hidden="1">255</definedName>
    <definedName name="_Order2" hidden="1">255</definedName>
    <definedName name="PRINT_RATIOCALC">#REF!</definedName>
    <definedName name="PRINT_RATIOONLY">#REF!</definedName>
    <definedName name="PRINT_RESULTS">#REF!</definedName>
  </definedNames>
  <calcPr fullCalcOnLoad="1"/>
</workbook>
</file>

<file path=xl/comments2.xml><?xml version="1.0" encoding="utf-8"?>
<comments xmlns="http://schemas.openxmlformats.org/spreadsheetml/2006/main">
  <authors>
    <author>Duane Griffith</author>
    <author>griffith</author>
  </authors>
  <commentList>
    <comment ref="B33" authorId="0">
      <text>
        <r>
          <rPr>
            <b/>
            <sz val="10"/>
            <rFont val="Tahoma"/>
            <family val="2"/>
          </rPr>
          <t xml:space="preserve">As an example, other revenue per unit may include wool income from sheep or income from renting sheep or goats to help control noxious weeds.  </t>
        </r>
      </text>
    </comment>
    <comment ref="B32" authorId="0">
      <text>
        <r>
          <rPr>
            <b/>
            <sz val="10"/>
            <rFont val="Tahoma"/>
            <family val="2"/>
          </rPr>
          <t xml:space="preserve">The base value is an average value for each raised breeding animal in a herd.  A conservative market value can be used to estimate the base value for each animal.  Base values are used for calculations on raised animals, not purchased animals.
</t>
        </r>
        <r>
          <rPr>
            <b/>
            <sz val="10"/>
            <color indexed="10"/>
            <rFont val="Tahoma"/>
            <family val="2"/>
          </rPr>
          <t>Do not change the base value entered here to illustrate the effects of asset revaluation during the year.</t>
        </r>
        <r>
          <rPr>
            <b/>
            <sz val="10"/>
            <rFont val="Tahoma"/>
            <family val="2"/>
          </rPr>
          <t xml:space="preserve">  If you wish to see how breeding livestock revaluation effects the financial statements, a data entry cell is provided for breeding livestock at the bottom of this page under the heading "Ending Asset Value Adjustment Total Dollars."</t>
        </r>
      </text>
    </comment>
    <comment ref="B30" authorId="0">
      <text>
        <r>
          <rPr>
            <b/>
            <sz val="10"/>
            <rFont val="Tahoma"/>
            <family val="2"/>
          </rPr>
          <t xml:space="preserve">For breeding livestock enterprises, enter the number of breeding animals, </t>
        </r>
        <r>
          <rPr>
            <b/>
            <sz val="10"/>
            <color indexed="10"/>
            <rFont val="Tahoma"/>
            <family val="2"/>
          </rPr>
          <t>not the total number of animals</t>
        </r>
        <r>
          <rPr>
            <b/>
            <sz val="10"/>
            <rFont val="Tahoma"/>
            <family val="2"/>
          </rPr>
          <t xml:space="preserve">, cows, bulls, replacement heifers, etc. 
For feeding enterprises, enter the number of animals being fed/finished.
</t>
        </r>
      </text>
    </comment>
    <comment ref="H29" authorId="0">
      <text>
        <r>
          <rPr>
            <b/>
            <sz val="10"/>
            <rFont val="Tahoma"/>
            <family val="2"/>
          </rPr>
          <t>Enter the average weight of this market livestock animal when it is sold.</t>
        </r>
      </text>
    </comment>
    <comment ref="G29" authorId="0">
      <text>
        <r>
          <rPr>
            <b/>
            <sz val="10"/>
            <rFont val="Tahoma"/>
            <family val="2"/>
          </rPr>
          <t>Enter the average weight of this market livestock animal when it is sold.</t>
        </r>
      </text>
    </comment>
    <comment ref="D29" authorId="0">
      <text>
        <r>
          <rPr>
            <b/>
            <sz val="9"/>
            <rFont val="Tahoma"/>
            <family val="2"/>
          </rPr>
          <t xml:space="preserve">Average weight for steers and heifers </t>
        </r>
        <r>
          <rPr>
            <b/>
            <sz val="9"/>
            <color indexed="10"/>
            <rFont val="Tahoma"/>
            <family val="2"/>
          </rPr>
          <t>sold</t>
        </r>
        <r>
          <rPr>
            <b/>
            <sz val="9"/>
            <rFont val="Tahoma"/>
            <family val="2"/>
          </rPr>
          <t xml:space="preserve"> per cow exposed after adjustment for holding replacement heifers. This is not the average weight of steers and heifers at weaning.  Montana SPA data indicates this average is approximately 475 pounds for commercial beef operations.</t>
        </r>
        <r>
          <rPr>
            <sz val="9"/>
            <rFont val="Tahoma"/>
            <family val="2"/>
          </rPr>
          <t xml:space="preserve">
</t>
        </r>
      </text>
    </comment>
    <comment ref="B29" authorId="0">
      <text>
        <r>
          <rPr>
            <b/>
            <sz val="10"/>
            <rFont val="Tahoma"/>
            <family val="2"/>
          </rPr>
          <t xml:space="preserve">Enter the average weight of the primary product for this enterprise (lbs calf, lbs lamb, etc.).  The average should include both steers and heifers (in  a cow calf enterprise).  The number entered should be the average pounds of sale livestock for the number of breeding females in the exposed herd.  </t>
        </r>
      </text>
    </comment>
    <comment ref="B25" authorId="0">
      <text>
        <r>
          <rPr>
            <b/>
            <sz val="10"/>
            <rFont val="Tahoma"/>
            <family val="2"/>
          </rPr>
          <t xml:space="preserve">Bull, Ram, Etc.
</t>
        </r>
      </text>
    </comment>
    <comment ref="B23" authorId="0">
      <text>
        <r>
          <rPr>
            <b/>
            <sz val="10"/>
            <rFont val="Tahoma"/>
            <family val="2"/>
          </rPr>
          <t>Cow, Ewe, Etc.</t>
        </r>
      </text>
    </comment>
    <comment ref="B10" authorId="0">
      <text>
        <r>
          <rPr>
            <b/>
            <sz val="10"/>
            <rFont val="Tahoma"/>
            <family val="2"/>
          </rPr>
          <t xml:space="preserve">If there are enterprises on the operation that exist only to support other enterprise (hay to feed livestock or summer fallow to rest small grains crop land) they MUST be listed in this section to get the correct acreage and to include the costs associated with these enterprises.  Enter the yield and acreage and list the "Sales Price Per Unit" as zero.  
</t>
        </r>
        <r>
          <rPr>
            <b/>
            <sz val="10"/>
            <color indexed="10"/>
            <rFont val="Tahoma"/>
            <family val="2"/>
          </rPr>
          <t>For any enterprise that does not have a yield (summer fallow) you must enter a 1 for the yield.</t>
        </r>
      </text>
    </comment>
    <comment ref="D6" authorId="0">
      <text>
        <r>
          <rPr>
            <b/>
            <sz val="10"/>
            <rFont val="Tahoma"/>
            <family val="2"/>
          </rPr>
          <t>Include all crop enterprises in the operation and forage enterprises if they are cash crops. Also include summer fallow, even though it does not generate revenue.  A hay enterprise that is used to grow hay for the livestock enterprises should also be included to get the correct acreage on the operation. If the costs of growing hay is include in the enterprise cost for the livestock operation(s), do not double count that cost by entering an enterprise costs for the hay enterprise.</t>
        </r>
      </text>
    </comment>
    <comment ref="A41" authorId="1">
      <text>
        <r>
          <rPr>
            <b/>
            <u val="single"/>
            <sz val="10"/>
            <rFont val="Times New Roman"/>
            <family val="1"/>
          </rPr>
          <t>Eligible Commodities:</t>
        </r>
        <r>
          <rPr>
            <sz val="10"/>
            <rFont val="Times New Roman"/>
            <family val="1"/>
          </rPr>
          <t xml:space="preserve">
-barley; 
-corn; 
-grain sorghum, including dual purpose varieties that can be harvested as grain; 
-oats; 
-canola, crambe, flax, mustard, rapeseed, safflower, sesame and sunflower, including oil and non-oil varieties; 
-peanuts, beginning in 2003; 
-rice, excluding wild rice; 
-soybeans; 
-upland cotton; and 
-wheat. 
</t>
        </r>
      </text>
    </comment>
    <comment ref="A46" authorId="1">
      <text>
        <r>
          <rPr>
            <b/>
            <u val="single"/>
            <sz val="10"/>
            <rFont val="Tahoma"/>
            <family val="2"/>
          </rPr>
          <t>Payment Rate Per Unit by Commodity:</t>
        </r>
        <r>
          <rPr>
            <sz val="10"/>
            <rFont val="Tahoma"/>
            <family val="2"/>
          </rPr>
          <t xml:space="preserve">
barley                $0.24 per bushel 
corn                   $0.28 per bushel 
grain sorghum   $0.35 per bushel 
oats                   $0.024 per bushel 
other oilseeds   $0.80 per hundredweight 
peanuts            $36 per ton 
rice                    $2.35 per hundredweight 
soybeans          $0.44 per bushel 
upland cotton   $0.0667 per pound 
wheat               $0.52 per bushel 
        </t>
        </r>
      </text>
    </comment>
    <comment ref="A12" authorId="1">
      <text>
        <r>
          <rPr>
            <sz val="10"/>
            <rFont val="Tahoma"/>
            <family val="2"/>
          </rPr>
          <t>Lease payments can be either cash or crop share.  If the lease is crop share, enter the percent of the crop share the landlord will receive for this enterprise. 
If the lease payment will be a cash lease,  you must calculate the percentage of expected gross revenue per acre the landlord will receive and enter this percentage here.  Example:  Cash lease rate is $25 per acre.  The yield and expected price of the crop grown is 30 bushels per acre and $3.00 per bushel for a an expected gross revenue of $90.  Dividing $25 by $90, the percentage entered here is 27.78%.</t>
        </r>
      </text>
    </comment>
  </commentList>
</comments>
</file>

<file path=xl/comments3.xml><?xml version="1.0" encoding="utf-8"?>
<comments xmlns="http://schemas.openxmlformats.org/spreadsheetml/2006/main">
  <authors>
    <author>Duane Griffith</author>
    <author>griffith</author>
  </authors>
  <commentList>
    <comment ref="E24" authorId="0">
      <text>
        <r>
          <rPr>
            <sz val="10"/>
            <rFont val="Tahoma"/>
            <family val="2"/>
          </rPr>
          <t>Use this number as a cross check on total expense, excluding interest and depreciation, that you would expect on an operation "this" size.</t>
        </r>
      </text>
    </comment>
    <comment ref="A9" authorId="1">
      <text>
        <r>
          <rPr>
            <sz val="10"/>
            <rFont val="Tahoma"/>
            <family val="2"/>
          </rPr>
          <t xml:space="preserve">Unit costs will typically be on an per acre or per unit of yield basis. For this program, enter the average cost of production per unit of yield for each enterprise on the operation.  Per Bushel, Per Cwt., Per Pound, etc. 
This cost of production includes both operating (fuel, oil, repairs, seed, fertilizer, chemicals, etc. etc.) and ownership costs (depreciation, interest, taxes and insurance). However, </t>
        </r>
        <r>
          <rPr>
            <sz val="10"/>
            <color indexed="10"/>
            <rFont val="Tahoma"/>
            <family val="2"/>
          </rPr>
          <t>DO NOT include interest or depreciation costs in your cost per unit of yield calculations</t>
        </r>
        <r>
          <rPr>
            <sz val="10"/>
            <rFont val="Tahoma"/>
            <family val="2"/>
          </rPr>
          <t xml:space="preserve">. They are included below in a separate calculation.
</t>
        </r>
      </text>
    </comment>
    <comment ref="A10" authorId="1">
      <text>
        <r>
          <rPr>
            <sz val="11"/>
            <rFont val="Tahoma"/>
            <family val="2"/>
          </rPr>
          <t xml:space="preserve">In some leases, the landlord pays a portion of the costs of inputs used in the production process. Examples of production costs paid by the landlord might be fertilizer and chemicals. Whether the landlord actually pays any portion of these cost will depend on the type of lease, cash or crop share, and the individual negotiations between a landlord and tenant.  
Enter the percent of the total per unit costs that the landlord pays, if any.  Example, if wheat costs $2.00 per bushels and the land lord pays $.50 per bushel of the total costs, then enter 25% on this row for that particular enterprise.
</t>
        </r>
      </text>
    </comment>
    <comment ref="A22" authorId="1">
      <text>
        <r>
          <rPr>
            <sz val="10"/>
            <rFont val="Tahoma"/>
            <family val="2"/>
          </rPr>
          <t xml:space="preserve">If you wish to enter an overhead cost, say of 3% of total enterprise costs, enter 3%, do not enter 103%. 
Do not enter a percentage here if you have already accounted for all expenses (except interest and depreciation) when entering the cost of production per unit.  Entering a number here can be used to estimate miscellaneous and overhead expenses that may not be allocated to any particular enterprise.
</t>
        </r>
      </text>
    </comment>
    <comment ref="A15" authorId="1">
      <text>
        <r>
          <rPr>
            <sz val="10"/>
            <rFont val="Tahoma"/>
            <family val="2"/>
          </rPr>
          <t xml:space="preserve">Enter the average cost of production for each enterprise on the operation.  This cost of production includes both operating (fuel, oil, repairs, feed, vet &amp; Med expense, lease grazing costs, etc. etc.) and ownership costs (taxes, interest, depreciation, insurance).  However, DO NOT include any interest or depreciation costs in the number you enter. These costs are entered/calculated separately below.
This figure can be entered in two ways.  The first is for the total cost of maintaining livestock including the costs of putting up hay for cows, bulls, and replacements. The second is to include a haying enterprise in the crops section and exclude these enterprise costs from the cost per pound entered here. Just make sure you do not double count  expenses for the haying or other forage enterprises used solely for feeding breeding livestock.
</t>
        </r>
      </text>
    </comment>
  </commentList>
</comments>
</file>

<file path=xl/comments4.xml><?xml version="1.0" encoding="utf-8"?>
<comments xmlns="http://schemas.openxmlformats.org/spreadsheetml/2006/main">
  <authors>
    <author>Duane Griffith</author>
  </authors>
  <commentList>
    <comment ref="F28" authorId="0">
      <text>
        <r>
          <rPr>
            <b/>
            <sz val="10"/>
            <rFont val="Tahoma"/>
            <family val="2"/>
          </rPr>
          <t>Distributions of "business cash" should be entered on the outflows side of the Cash Flow Statement.  Use the Owner Withdrawals or the Other Cash Outflows, Not Expense rows of the Cash Flow.
Near cash distributions such as grain, market livestock, feed inventory, etc.  should be made on the ending Balance Sheet under the Current Assets Section.  An automatic accrual adjustment will be made to the Income Statement and the SOE will still be reconciled.
Capital asset distributions should be made here and these entries will cause the SOE to show a discrepancy figure.</t>
        </r>
      </text>
    </comment>
    <comment ref="F27" authorId="0">
      <text>
        <r>
          <rPr>
            <b/>
            <sz val="10"/>
            <rFont val="Tahoma"/>
            <family val="2"/>
          </rPr>
          <t xml:space="preserve">Cash contributions should be entered on the inflows side of the Cash Flow Statement. Use one of the NonBusiness Inflows rows.  This includes the cash in stream of flows and it ends up on the ending Balance Sheet values.
There is </t>
        </r>
        <r>
          <rPr>
            <b/>
            <sz val="10"/>
            <color indexed="10"/>
            <rFont val="Tahoma"/>
            <family val="2"/>
          </rPr>
          <t>no means in this spreadsheet to enter a contribution of a Near cash item</t>
        </r>
        <r>
          <rPr>
            <b/>
            <sz val="10"/>
            <rFont val="Tahoma"/>
            <family val="2"/>
          </rPr>
          <t xml:space="preserve"> such as grains, feeds, or market livestock. If the ending inventory value(s) are adjusted for a contribution in the current assets section of the Balance Sheet, an automatic accrual adjustment is made on the Income Statement.  This falsely gives credit (positive adjustment to income) to the business operation. The SOE will still be reconciled. This however overstates what the business actually generated during the year. 
Capital asset contributions should be entered here and these entries will cause the SOE to be out of balance.</t>
        </r>
      </text>
    </comment>
    <comment ref="B26" authorId="0">
      <text>
        <r>
          <rPr>
            <b/>
            <sz val="10"/>
            <rFont val="Tahoma"/>
            <family val="2"/>
          </rPr>
          <t xml:space="preserve">For illustrative purposes, it is recommended that asset purchases,  contributions and distributions be used in separate examples while running this spreadsheet.  While these numbers can be combined here, it complicates the example and data entry here and on the Statements tab of this template.  </t>
        </r>
      </text>
    </comment>
    <comment ref="F25" authorId="0">
      <text>
        <r>
          <rPr>
            <b/>
            <sz val="10"/>
            <rFont val="Tahoma"/>
            <family val="2"/>
          </rPr>
          <t xml:space="preserve">Enter a positive value for an asset contribution and a negative value for an asset distribution. </t>
        </r>
      </text>
    </comment>
    <comment ref="H22" authorId="0">
      <text>
        <r>
          <rPr>
            <b/>
            <sz val="10"/>
            <color indexed="8"/>
            <rFont val="Tahoma"/>
            <family val="2"/>
          </rPr>
          <t xml:space="preserve">Includes information that is entered on the Statements tab of this spreadsheet on the balance sheet.  See the Rato_Calc tab for further details.
That means that if you zero out all the precentages entered for "Percent Debt By Asset Type" you may still have a Debt/Asset Rartio that is greater than zero due to the information on the Statements page of this spreadsheet. </t>
        </r>
      </text>
    </comment>
    <comment ref="E19" authorId="0">
      <text>
        <r>
          <rPr>
            <b/>
            <sz val="10"/>
            <rFont val="Tahoma"/>
            <family val="2"/>
          </rPr>
          <t xml:space="preserve">DO NOT enter a depreciation value for anything but purchased breeding livestock.  Typically this will be the average annual depreciation on purchased bulls.
</t>
        </r>
        <r>
          <rPr>
            <sz val="10"/>
            <rFont val="Tahoma"/>
            <family val="2"/>
          </rPr>
          <t xml:space="preserve">
</t>
        </r>
      </text>
    </comment>
    <comment ref="B19" authorId="0">
      <text>
        <r>
          <rPr>
            <b/>
            <sz val="10"/>
            <rFont val="Tahoma"/>
            <family val="2"/>
          </rPr>
          <t xml:space="preserve">Breeding livestock values are calculated using the information entered in the livestock enterprises.  You can not enter a value here.  </t>
        </r>
      </text>
    </comment>
    <comment ref="B18" authorId="0">
      <text>
        <r>
          <rPr>
            <b/>
            <sz val="10"/>
            <rFont val="Tahoma"/>
            <family val="2"/>
          </rPr>
          <t xml:space="preserve">Enter the market value for all buildings and improvements for this operation.  Note that if the average values used above for crop and livestock acres included the buildings and improvements, do not enter a value here.  That will double count real estate values.  If you wish to assign debt to buildings and improvements to analyze it's affect on the operation, you must enter a value here, but you may have to reduce the per acre values of crop and livestock acreages to eliminate double counting real estate values.  </t>
        </r>
      </text>
    </comment>
    <comment ref="B17" authorId="0">
      <text>
        <r>
          <rPr>
            <b/>
            <sz val="10"/>
            <rFont val="Tahoma"/>
            <family val="2"/>
          </rPr>
          <t xml:space="preserve">Enter the market value of all machinery and equipment for this operation.  </t>
        </r>
      </text>
    </comment>
    <comment ref="B16" authorId="0">
      <text>
        <r>
          <rPr>
            <b/>
            <sz val="10"/>
            <rFont val="Tahoma"/>
            <family val="2"/>
          </rPr>
          <t>Calculated using the acreages entered in the revenue section for each enterprise and the "average value per acre" entered for all crop acres.</t>
        </r>
      </text>
    </comment>
    <comment ref="G15" authorId="0">
      <text>
        <r>
          <rPr>
            <b/>
            <sz val="10"/>
            <rFont val="Tahoma"/>
            <family val="2"/>
          </rPr>
          <t xml:space="preserve">The entries below are intended to allow the user to get a gross look at the overall liability situation.  It is not intended to let the user analyze the specific combination of loans that will occur on an individual operation (loan amounts, varying lengths remaining to payoff, interest by loan, term, annual or monthly payments, etc.).  For an individual operation, all these factors may combine to produce a similar result as entering, say 30% of the total value entered for "Mach &amp; Equip." to the left.  This spreadsheet only allows the user to enter a percentage of the total value of the asset group and this is used to amortize a loan for that asset group.  </t>
        </r>
      </text>
    </comment>
    <comment ref="F15" authorId="0">
      <text>
        <r>
          <rPr>
            <b/>
            <sz val="9"/>
            <color indexed="10"/>
            <rFont val="Tahoma"/>
            <family val="2"/>
          </rPr>
          <t>Enter only the amount you wish to adjust the total ending asset value, not the total ending asset value.</t>
        </r>
        <r>
          <rPr>
            <b/>
            <sz val="9"/>
            <rFont val="Tahoma"/>
            <family val="2"/>
          </rPr>
          <t xml:space="preserve">
Over time, the market value of some assets increase. The primary example is real estate.  Real estate values are occasionally adjusted on balance sheets to record the affects of inflationary pressures. Adjustments of this nature increase the owner equity (net worth) calculated for an operation. While increases in equity can make the operation look good/better, there is a critical need to understand how equity increases.  These types of adjustments are usually not from the operation of the business. They can also show conflicting results when combined with other financial statement information, i.e. increase in net worth while cash flow and net income are negative.</t>
        </r>
      </text>
    </comment>
    <comment ref="I9" authorId="0">
      <text>
        <r>
          <rPr>
            <b/>
            <sz val="10"/>
            <rFont val="Tahoma"/>
            <family val="2"/>
          </rPr>
          <t xml:space="preserve">Must be between 2 and 29.  The number entered here will not represent all the possible combinations of loan terms (length, annual, monthly, quarterly, number of payments already made on each loan, etc.).  Again, this spreadsheet is intended to teach concepts and provide a very rough first look at an operation. Considering all of the factors mentioned above, enter a payment number that represents where the operation is at with long term loan payments.  This is only applied to the real estate loans. 
This number is used on the Statements tab of this spreadsheet in the Non Current Liability section. 
</t>
        </r>
      </text>
    </comment>
    <comment ref="H9" authorId="0">
      <text>
        <r>
          <rPr>
            <b/>
            <sz val="10"/>
            <rFont val="Tahoma"/>
            <family val="2"/>
          </rPr>
          <t xml:space="preserve">Must be between 2 and 6.  There are many possible combinations of loan lengths, terms, etc. for the loans that may exist for machinery and equipment, livestock, etc.  That must be handled in some other type of analysis package which is capable of that detail.  For this application, the user must enter the short term interest and the payment number that will approximate the overall loan package that exists on assets that are financed over a relatively short period.  This spread sheet uses a 7 year period assuming payments are made annually.  The "Short Term" information is applied to the machinery and equipment, breeding livestock, and buildings and improvements.  </t>
        </r>
        <r>
          <rPr>
            <sz val="10"/>
            <rFont val="Tahoma"/>
            <family val="2"/>
          </rPr>
          <t xml:space="preserve">
</t>
        </r>
      </text>
    </comment>
  </commentList>
</comments>
</file>

<file path=xl/comments5.xml><?xml version="1.0" encoding="utf-8"?>
<comments xmlns="http://schemas.openxmlformats.org/spreadsheetml/2006/main">
  <authors>
    <author>griffith</author>
  </authors>
  <commentList>
    <comment ref="A84" authorId="0">
      <text>
        <r>
          <rPr>
            <sz val="10"/>
            <rFont val="Tahoma"/>
            <family val="2"/>
          </rPr>
          <t xml:space="preserve">If the Net Benefit displayed is zero, either you did not qualify for any insurance payments this year due to high yields and prices AND/OR you entered an   N   above to turn this section off. </t>
        </r>
      </text>
    </comment>
    <comment ref="A76" authorId="0">
      <text>
        <r>
          <rPr>
            <sz val="10"/>
            <rFont val="Tahoma"/>
            <family val="2"/>
          </rPr>
          <t xml:space="preserve">This is the maximum possible indemnity payment you might receive if you have zero yields and get the FCIC Established price at the coverage level you selected.
 </t>
        </r>
      </text>
    </comment>
    <comment ref="A62" authorId="0">
      <text>
        <r>
          <rPr>
            <sz val="10"/>
            <rFont val="Tahoma"/>
            <family val="2"/>
          </rPr>
          <t xml:space="preserve"> Enter the market price election percentage you would like to choose for this particular crop. The election percentage usually ranges between 60% and 100%.  
 </t>
        </r>
      </text>
    </comment>
    <comment ref="A61" authorId="0">
      <text>
        <r>
          <rPr>
            <sz val="10"/>
            <rFont val="Tahoma"/>
            <family val="2"/>
          </rPr>
          <t xml:space="preserve"> For each MPCI crop, the FCIC establishes a market price for the forthcoming crop year. The producer selects a price election between 60 percent and 100 percent of the market price. The elected price is the price at which the producer’s quantity loss is valued. In dollar terms, if a quantity indemnity loss is incurred then the producer receives a dollar indemnity payment equal to the quantity indemnity loss multiplied by the elected price.</t>
        </r>
      </text>
    </comment>
    <comment ref="A60" authorId="0">
      <text>
        <r>
          <rPr>
            <sz val="10"/>
            <rFont val="Tahoma"/>
            <family val="2"/>
          </rPr>
          <t xml:space="preserve"> You are required to have a different basic unit for each ownership level you want to claim on your operation.  This software is limited to just three basic units for simplicity sake and because this software is intended for educational purposes, not analysis of an individual operation.</t>
        </r>
      </text>
    </comment>
    <comment ref="A59" authorId="0">
      <text>
        <r>
          <rPr>
            <sz val="10"/>
            <rFont val="Tahoma"/>
            <family val="2"/>
          </rPr>
          <t xml:space="preserve"> The yield coverage election ranges between 50% and 75% in 5% increments.  Some crops have an 85% coverage election available.  Ask your local insurance agent for the details of a particular crop insurance coverage for MPCI.</t>
        </r>
      </text>
    </comment>
    <comment ref="A58" authorId="0">
      <text>
        <r>
          <rPr>
            <sz val="10"/>
            <rFont val="Tahoma"/>
            <family val="2"/>
          </rPr>
          <t xml:space="preserve"> Enter your APH yield history for this crop.
</t>
        </r>
      </text>
    </comment>
    <comment ref="A40" authorId="0">
      <text>
        <r>
          <rPr>
            <sz val="10"/>
            <rFont val="Tahoma"/>
            <family val="2"/>
          </rPr>
          <t xml:space="preserve"> Enter the market price election percentage you would like to choose for this particular crop. The election percentage usually ranges between 60% and 100%.  
 </t>
        </r>
      </text>
    </comment>
    <comment ref="A39" authorId="0">
      <text>
        <r>
          <rPr>
            <sz val="10"/>
            <rFont val="Tahoma"/>
            <family val="2"/>
          </rPr>
          <t xml:space="preserve"> For each MPCI crop, the FCIC establishes a market price for the forthcoming crop year. The producer selects a price election between 60 percent and 100 percent of the market price. The elected price is the price at which the producer’s quantity loss is valued. In dollar terms, if a quantity indemnity loss is incurred then the producer receives a dollar indemnity payment equal to the quantity indemnity loss multiplied by the elected price.</t>
        </r>
      </text>
    </comment>
    <comment ref="A38" authorId="0">
      <text>
        <r>
          <rPr>
            <sz val="10"/>
            <rFont val="Tahoma"/>
            <family val="2"/>
          </rPr>
          <t xml:space="preserve"> You are required to have a different basic unit for each ownership level you want to claim on your operation.  This software is limited to just three basic units for simplicity sake and because this software is intended for educational purposes, not analysis of an individual operation.</t>
        </r>
      </text>
    </comment>
    <comment ref="A37" authorId="0">
      <text>
        <r>
          <rPr>
            <sz val="10"/>
            <rFont val="Tahoma"/>
            <family val="2"/>
          </rPr>
          <t xml:space="preserve"> The yield coverage election ranges between 50% and 75% in 5% increments.  Some crops have an 85% coverage election available.  Ask your local insurance agent for the details of a particular crop insurance coverage for MPCI.</t>
        </r>
      </text>
    </comment>
    <comment ref="A36" authorId="0">
      <text>
        <r>
          <rPr>
            <sz val="10"/>
            <rFont val="Tahoma"/>
            <family val="2"/>
          </rPr>
          <t xml:space="preserve"> Enter your APH yield history for this crop.
</t>
        </r>
      </text>
    </comment>
    <comment ref="A18" authorId="0">
      <text>
        <r>
          <rPr>
            <sz val="10"/>
            <rFont val="Tahoma"/>
            <family val="2"/>
          </rPr>
          <t xml:space="preserve"> Enter the market price election percentage you would like to choose for this particular crop. The election percentage usually ranges between 60% and 100%.  
 </t>
        </r>
      </text>
    </comment>
    <comment ref="A17" authorId="0">
      <text>
        <r>
          <rPr>
            <sz val="10"/>
            <rFont val="Tahoma"/>
            <family val="2"/>
          </rPr>
          <t xml:space="preserve"> For each MPCI crop, the FCIC establishes a market price for the forthcoming crop year. The producer selects a price election between 60 percent and 100 percent of the market price. The elected price is the price at which the producer’s quantity loss is valued. In dollar terms, if a quantity indemnity loss is incurred then the producer receives a dollar indemnity payment equal to the quantity indemnity loss multiplied by the elected price.</t>
        </r>
      </text>
    </comment>
    <comment ref="A16" authorId="0">
      <text>
        <r>
          <rPr>
            <sz val="10"/>
            <rFont val="Tahoma"/>
            <family val="2"/>
          </rPr>
          <t xml:space="preserve"> You are required to have a different basic unit for each ownership level you want to claim on your operation.  This software is limited to just three basic units for simplicity sake and because this software is intended for educational purposes, not analysis of an individual operation.</t>
        </r>
      </text>
    </comment>
    <comment ref="A15" authorId="0">
      <text>
        <r>
          <rPr>
            <sz val="10"/>
            <rFont val="Tahoma"/>
            <family val="2"/>
          </rPr>
          <t xml:space="preserve"> The yield coverage election ranges between 50% and 75% in 5% increments.  Some crops have an 85% coverage election available.  Ask your local insurance agent for the details of a particular crop insurance coverage for MPCI.</t>
        </r>
      </text>
    </comment>
    <comment ref="A14" authorId="0">
      <text>
        <r>
          <rPr>
            <sz val="10"/>
            <rFont val="Tahoma"/>
            <family val="2"/>
          </rPr>
          <t xml:space="preserve"> Enter your APH yield history for this crop.
</t>
        </r>
      </text>
    </comment>
    <comment ref="A7" authorId="0">
      <text>
        <r>
          <rPr>
            <sz val="10"/>
            <rFont val="Tahoma"/>
            <family val="2"/>
          </rPr>
          <t xml:space="preserve"> Enter a Y to activate this section of the program.  You can fill all of the information in for the basic unit insurance protection, but if you enter an   N   indicating this option is not active, the net benefit number calculated below will not be included in the Statements page in the Cash Flow Statement.  The ability to turn this section on or off allows you to analyze potential impacts of using MPCI insurance coverage.</t>
        </r>
      </text>
    </comment>
  </commentList>
</comments>
</file>

<file path=xl/comments6.xml><?xml version="1.0" encoding="utf-8"?>
<comments xmlns="http://schemas.openxmlformats.org/spreadsheetml/2006/main">
  <authors>
    <author>Duane Griffith</author>
  </authors>
  <commentList>
    <comment ref="B7" authorId="0">
      <text>
        <r>
          <rPr>
            <b/>
            <sz val="10"/>
            <rFont val="Tahoma"/>
            <family val="2"/>
          </rPr>
          <t xml:space="preserve">Inventory change for feed held for feed use is adjusted as an expense on the accrual adjusted income statement.  
A decrease in feed inventory is an increase in expenses.
</t>
        </r>
      </text>
    </comment>
    <comment ref="B8" authorId="0">
      <text>
        <r>
          <rPr>
            <b/>
            <sz val="10"/>
            <color indexed="8"/>
            <rFont val="Tahoma"/>
            <family val="2"/>
          </rPr>
          <t xml:space="preserve">Adjusted as income on the Accrual Adjusted Income Statement.
</t>
        </r>
      </text>
    </comment>
    <comment ref="B9" authorId="0">
      <text>
        <r>
          <rPr>
            <b/>
            <sz val="10"/>
            <color indexed="8"/>
            <rFont val="Tahoma"/>
            <family val="2"/>
          </rPr>
          <t xml:space="preserve">Adjusted as income on the Accrual Adjusted Income Statement.
</t>
        </r>
      </text>
    </comment>
    <comment ref="B10" authorId="0">
      <text>
        <r>
          <rPr>
            <b/>
            <sz val="10"/>
            <color indexed="8"/>
            <rFont val="Tahoma"/>
            <family val="2"/>
          </rPr>
          <t>Adjusted as income on the Accrual Adjusted Income Statement.</t>
        </r>
      </text>
    </comment>
    <comment ref="O8" authorId="0">
      <text>
        <r>
          <rPr>
            <b/>
            <sz val="10"/>
            <rFont val="Tahoma"/>
            <family val="2"/>
          </rPr>
          <t>This is non-cash revenue recognition for raised breeding livestock that is kept (replacement heifers) and transferred into the breeding herd to maintain herd quantity and quality.  The value used here is the "Base Value" (see the Farm Financial Standards Guidelines, FFSG) times the number of animals transferred into the breeding herd.  Example, $500/hd Base Value * 70 head = $35,000.
The Base Value recommended by the FFSG is a conservative market value.</t>
        </r>
      </text>
    </comment>
    <comment ref="O9" authorId="0">
      <text>
        <r>
          <rPr>
            <b/>
            <sz val="10"/>
            <rFont val="Tahoma"/>
            <family val="2"/>
          </rPr>
          <t>The capital gain/loss on breeding livestock is calculated as the cash sales amount minus the basis of the breeding animals sold.  The basis of cows and replacement heifers can be set on the Enterprise tab of this spreadsheet.  Raised breeding livestock for tax purposes have a zero basis.  
For the purpose of measuring business performance, raised livestock are assigned a "base value" (basis) which does not change.  Purchased breeding animals, Bulls, Rams, and Other Breeding Males, are all assumed to have a zero basis when sold, i.e. they have been fully depreciated.  The number of bulls culled each year is estimated as the number of breeding cows divided by the number of females per male entered on the Enterprise tab.  This number is then divided by 3 (avg bull lasts 3 years).  
Example: A raised cull cow sold for $480 with a Base Value of $500 would show a capital loss of $20. Note, cash sales revenue from breeding stock is not shown on the Income Statement but is included on the Cash Flow Statement.  Only the Gain or Loss with respect to the basis is shown is shown here.
Remember, this program is not intended for a detailed analysis of an operation.  It's purpose is to demonstrate the need for adequate financial analysis.</t>
        </r>
      </text>
    </comment>
    <comment ref="O6" authorId="0">
      <text>
        <r>
          <rPr>
            <b/>
            <sz val="10"/>
            <rFont val="Tahoma"/>
            <family val="2"/>
          </rPr>
          <t>The Farm Financial Standards Guidelines (FFSG) indicate that revenue from the sale of breeding livestock included on the income statement should be calculated as a capital gain or loss.  Raised breeding livestock are assigned a base value and the income reported is with respect to this base value.  Example, if the base value of a raised breeding cow is assigned at $600 and the animal, when sold as a cull, brings $425, the income reported is</t>
        </r>
        <r>
          <rPr>
            <b/>
            <sz val="10"/>
            <color indexed="10"/>
            <rFont val="Tahoma"/>
            <family val="2"/>
          </rPr>
          <t xml:space="preserve"> -$175.</t>
        </r>
        <r>
          <rPr>
            <b/>
            <sz val="10"/>
            <rFont val="Tahoma"/>
            <family val="2"/>
          </rPr>
          <t xml:space="preserve">  The gain or loss is reported below and the cash amount received is subtracted out of "Cash Income" reported here.</t>
        </r>
      </text>
    </comment>
    <comment ref="D26" authorId="0">
      <text>
        <r>
          <rPr>
            <b/>
            <sz val="10"/>
            <rFont val="Tahoma"/>
            <family val="2"/>
          </rPr>
          <t xml:space="preserve">Enter the percentage of the total cost of production that you expect to borrow as an operating loan.  Total Cost of production can be found on the Enterprise page tab on row 58 (approximately).  </t>
        </r>
      </text>
    </comment>
    <comment ref="B25" authorId="0">
      <text>
        <r>
          <rPr>
            <b/>
            <sz val="10"/>
            <rFont val="Tahoma"/>
            <family val="2"/>
          </rPr>
          <t>Do not enter any revenue that is included with the enterprise information already.</t>
        </r>
      </text>
    </comment>
    <comment ref="F24" authorId="0">
      <text>
        <r>
          <rPr>
            <b/>
            <sz val="10"/>
            <rFont val="Tahoma"/>
            <family val="2"/>
          </rPr>
          <t>T.D. = Term Debt
C.L. = Capital Lease
This number is calculated on the Enterprise Tab.</t>
        </r>
      </text>
    </comment>
    <comment ref="F23" authorId="0">
      <text>
        <r>
          <rPr>
            <b/>
            <sz val="10"/>
            <rFont val="Tahoma"/>
            <family val="2"/>
          </rPr>
          <t>Do not double count expenses. The cost of production numbers entered on the Enterprise tab should include all expenses for each enterprise except interest and depreciation.  The Enterprise tab also allows you to enter a percentage to cover miscellaneous, overhead, and non-allocated expenses.  Do not enter expense here that have already been accounted for with the percentage estimate, line 57 of Enterprise tab.</t>
        </r>
      </text>
    </comment>
    <comment ref="F26" authorId="0">
      <text>
        <r>
          <rPr>
            <b/>
            <sz val="10"/>
            <rFont val="Tahoma"/>
            <family val="2"/>
          </rPr>
          <t>T.D. = Term Debt
C.L. = Capital Lease
Principal payments are calculated on the Enterprise tab.  Principle payments used here are estimates of the cumulative payments across all loans of varying length and terms.  Total debt load is easily analyzed without the need for detailed information about individual loans.</t>
        </r>
      </text>
    </comment>
    <comment ref="F27" authorId="0">
      <text>
        <r>
          <rPr>
            <b/>
            <sz val="10"/>
            <rFont val="Tahoma"/>
            <family val="2"/>
          </rPr>
          <t xml:space="preserve">Typically, breeding livestock will be purchase each year to maintain an adequate bull/ram/etc. inventory.  This number is estimated from the information entered about the livestock enterprises and the costs are shown here.  Breeding males are assumed to have an average life of 3 years.  
In addition to annual breeding livestock purchase needs, any breeding livestock entered on the "Purchase/Contribue/Distribue section starting in cell A81 of the Enterprise tab are also shown here.  </t>
        </r>
      </text>
    </comment>
    <comment ref="F16" authorId="0">
      <text>
        <r>
          <rPr>
            <b/>
            <sz val="10"/>
            <rFont val="Tahoma"/>
            <family val="2"/>
          </rPr>
          <t xml:space="preserve">T.D. = Term Debt
C.L. = Capital Lease
Long term debt is calculated on the Enterprise tab.  Gross averages are used from the major debt categories. </t>
        </r>
      </text>
    </comment>
    <comment ref="F35" authorId="0">
      <text>
        <r>
          <rPr>
            <b/>
            <sz val="10"/>
            <rFont val="Tahoma"/>
            <family val="2"/>
          </rPr>
          <t>Calculated as:  Beginning Cash + Cash In - Cash Out 
The calculated ending balance is listed as zero if there is insufficient cash inflow to cover all cash outflows, principle payments on term debt, operating loan repayment and cash withdrawals.  The ending cash balance on the balance sheet is also listed as zero in this instance.  The shortfall (amount of negative cash flow) is listed on the balance sheet as an operating loan carryover.  In essence, the lending agencies finance a negative cash flow over the analysis period and the negative flow becomes a point in time balance on the balance sheet.  For simplicities sake, an Operating Loan Carryover is used but in the real world, it could be some other type of loan payment that is carried over as unpaid.
A cash surplus is listed as a positive balance on the ending balance sheet and is listed as an ending cash balance under current assets.</t>
        </r>
      </text>
    </comment>
    <comment ref="H25" authorId="0">
      <text>
        <r>
          <rPr>
            <b/>
            <sz val="10"/>
            <rFont val="Tahoma"/>
            <family val="2"/>
          </rPr>
          <t xml:space="preserve">This number is entered on the Enterprise tab in cell G65.  
Changing this number, on the Enterprise tab (cell G65), effects all calculations regarding short term financing, not just the Operating Loan Interest calculation. </t>
        </r>
      </text>
    </comment>
    <comment ref="E2" authorId="0">
      <text>
        <r>
          <rPr>
            <b/>
            <sz val="10"/>
            <rFont val="Tahoma"/>
            <family val="2"/>
          </rPr>
          <t xml:space="preserve">To enter a 10% reduction in costs, enter 90% in this cell. This does not affect the information for crop costs of production on the Enterprise tab, only the results shown on this page. </t>
        </r>
      </text>
    </comment>
    <comment ref="I2" authorId="0">
      <text>
        <r>
          <rPr>
            <b/>
            <sz val="10"/>
            <rFont val="Tahoma"/>
            <family val="2"/>
          </rPr>
          <t xml:space="preserve">To enter a 10% increase in costs, enter 110% in this cell. This does not affect the information for livestock costs of production on the Enterprise tab, only the results shown on this page. </t>
        </r>
      </text>
    </comment>
    <comment ref="O13" authorId="0">
      <text>
        <r>
          <rPr>
            <b/>
            <sz val="10"/>
            <rFont val="Tahoma"/>
            <family val="2"/>
          </rPr>
          <t>This Accrual adjustment to expenses includes the (Beginning - Ending Sup.&amp; Prepaid Exp. and Cash Investment in Growing Crops) in the current asset section plus the (Ending - Beginning for Both Accounts Payable and "Other Current Liability") in the current liability section.</t>
        </r>
      </text>
    </comment>
    <comment ref="O18" authorId="0">
      <text>
        <r>
          <rPr>
            <b/>
            <sz val="10"/>
            <rFont val="Tahoma"/>
            <family val="2"/>
          </rPr>
          <t>This Accrual adjustment is the difference between the Ending - Beginning Accrued Interest current liability item.</t>
        </r>
      </text>
    </comment>
    <comment ref="O24" authorId="0">
      <text>
        <r>
          <rPr>
            <b/>
            <sz val="10"/>
            <rFont val="Tahoma"/>
            <family val="2"/>
          </rPr>
          <t xml:space="preserve">This item should contain the sum of total cash income and social security taxes paid plus the change (Ending - Beginning) for the Def. Tax on Current Assets, listed in the Current Liability section of the Balance Sheets.
Note that this line on the Income Statement includes the accrual adjustment for deferred tax on current assets from the balance sheet entries but the line for taxes on the cash flow statement includes only the cash tax estimate for the current years operation.  </t>
        </r>
      </text>
    </comment>
    <comment ref="O7" authorId="0">
      <text>
        <r>
          <rPr>
            <b/>
            <sz val="10"/>
            <rFont val="Tahoma"/>
            <family val="2"/>
          </rPr>
          <t>This Accrual adjustment is calculated as the sum of the Ending balance of (Corps for Sale + Market Livestock + Other Current. Assets (Inc.)) minus Beginning balances of these same current assets.  
Sup. &amp; Prepaid  Exp and Cash Investment in Growing Crops are accrual Expense adjustments.</t>
        </r>
      </text>
    </comment>
    <comment ref="I30" authorId="0">
      <text>
        <r>
          <rPr>
            <b/>
            <sz val="10"/>
            <color indexed="10"/>
            <rFont val="Tahoma"/>
            <family val="2"/>
          </rPr>
          <t xml:space="preserve">It is strongly recommended that you do not include income tax calculations </t>
        </r>
        <r>
          <rPr>
            <b/>
            <sz val="10"/>
            <rFont val="Tahoma"/>
            <family val="2"/>
          </rPr>
          <t xml:space="preserve">in the analysis as a general practice.  This will lead to a more complicated set of interactions among the financial statements and a more difficult time understanding this interaction.  
However, the income tax calculation can be turned on to show the effects of generating additional expenses to reduce income taxes payable.  This can be done with added cash expenses, entered on the cash flow statement or added depreciation, entered as an asset purchase on the Enterprise tab. 
To </t>
        </r>
        <r>
          <rPr>
            <b/>
            <sz val="10"/>
            <color indexed="10"/>
            <rFont val="Tahoma"/>
            <family val="2"/>
          </rPr>
          <t>turn the tax calculations on/off</t>
        </r>
        <r>
          <rPr>
            <b/>
            <sz val="10"/>
            <rFont val="Tahoma"/>
            <family val="2"/>
          </rPr>
          <t xml:space="preserve">, scroll right to column W and enter a   Y or N  in cell W8. 
Note this line includes only the estimate of cash taxes for the current years operation but the Income statement includes an accrual adjustment for deferred taxes on current assets, if those entries are made on the balance sheet.  Tax numbers on the cash flow and income statement may be different.  There is also a timing issue as to the year the taxes would actually be paid that is ignored in this set of statements. </t>
        </r>
      </text>
    </comment>
    <comment ref="B43" authorId="0">
      <text>
        <r>
          <rPr>
            <b/>
            <sz val="10"/>
            <rFont val="Tahoma"/>
            <family val="2"/>
          </rPr>
          <t xml:space="preserve">If you enter information in the statements above for a Corporate form of business, salary, etc. as a business expense, then do not enter a value for operator and unpaid family labor and management here.
</t>
        </r>
      </text>
    </comment>
    <comment ref="K32" authorId="0">
      <text>
        <r>
          <rPr>
            <b/>
            <sz val="10"/>
            <rFont val="Tahoma"/>
            <family val="2"/>
          </rPr>
          <t xml:space="preserve">Enter the dollar amount of all </t>
        </r>
        <r>
          <rPr>
            <b/>
            <sz val="10"/>
            <color indexed="10"/>
            <rFont val="Tahoma"/>
            <family val="2"/>
          </rPr>
          <t>asset valuation changes</t>
        </r>
        <r>
          <rPr>
            <b/>
            <sz val="10"/>
            <rFont val="Tahoma"/>
            <family val="2"/>
          </rPr>
          <t xml:space="preserve"> that you made on the Enterprise tab of this spreadsheet.  Note, this</t>
        </r>
        <r>
          <rPr>
            <b/>
            <sz val="10"/>
            <color indexed="10"/>
            <rFont val="Tahoma"/>
            <family val="2"/>
          </rPr>
          <t xml:space="preserve"> could be a negative number</t>
        </r>
        <r>
          <rPr>
            <b/>
            <sz val="10"/>
            <rFont val="Tahoma"/>
            <family val="2"/>
          </rPr>
          <t xml:space="preserve">.  
-------------------------------------------------
Also enter the total dollar amount of all assets that were </t>
        </r>
        <r>
          <rPr>
            <b/>
            <sz val="10"/>
            <color indexed="10"/>
            <rFont val="Tahoma"/>
            <family val="2"/>
          </rPr>
          <t xml:space="preserve">contributed </t>
        </r>
        <r>
          <rPr>
            <b/>
            <sz val="10"/>
            <rFont val="Tahoma"/>
            <family val="2"/>
          </rPr>
          <t xml:space="preserve">to the operation during the year or were </t>
        </r>
        <r>
          <rPr>
            <b/>
            <sz val="10"/>
            <color indexed="10"/>
            <rFont val="Tahoma"/>
            <family val="2"/>
          </rPr>
          <t>distributed</t>
        </r>
        <r>
          <rPr>
            <b/>
            <sz val="10"/>
            <rFont val="Tahoma"/>
            <family val="2"/>
          </rPr>
          <t xml:space="preserve"> (taken off the operation) to others during the year. 
</t>
        </r>
      </text>
    </comment>
    <comment ref="F11" authorId="0">
      <text>
        <r>
          <rPr>
            <b/>
            <sz val="10"/>
            <rFont val="Tahoma"/>
            <family val="2"/>
          </rPr>
          <t xml:space="preserve">This line on the Balance Sheet is provided for illustration purposes. </t>
        </r>
        <r>
          <rPr>
            <b/>
            <sz val="10"/>
            <color indexed="10"/>
            <rFont val="Tahoma"/>
            <family val="2"/>
          </rPr>
          <t xml:space="preserve"> Values entered here are not automatically "adjusted" on the Income Statement.  </t>
        </r>
        <r>
          <rPr>
            <b/>
            <sz val="10"/>
            <rFont val="Tahoma"/>
            <family val="2"/>
          </rPr>
          <t xml:space="preserve">The intent is to help illustrate the necessary interaction  among the financial statements required for a reconciled set of statements.  Entering values here will cause the SOE to show a </t>
        </r>
        <r>
          <rPr>
            <b/>
            <sz val="10"/>
            <color indexed="10"/>
            <rFont val="Tahoma"/>
            <family val="2"/>
          </rPr>
          <t>Discrepancy</t>
        </r>
        <r>
          <rPr>
            <b/>
            <sz val="10"/>
            <rFont val="Tahoma"/>
            <family val="2"/>
          </rPr>
          <t xml:space="preserve">, unless the same value is entered for both the beginning and ending values.  </t>
        </r>
        <r>
          <rPr>
            <b/>
            <sz val="10"/>
            <color indexed="10"/>
            <rFont val="Tahoma"/>
            <family val="2"/>
          </rPr>
          <t>There is no way, in this system of statements, to correctly offset values entered here and make the statements reconcile.</t>
        </r>
        <r>
          <rPr>
            <b/>
            <sz val="10"/>
            <rFont val="Tahoma"/>
            <family val="2"/>
          </rPr>
          <t xml:space="preserve">
Entering values here will also cause any Ratio calculations (Ratio_Calc) that include Net Income or Expenses to be incorrect. 
Entering beginning and/or ending values for this row will change the total liabilities and Net Worth values on the Balance Sheet.  </t>
        </r>
      </text>
    </comment>
    <comment ref="F22" authorId="0">
      <text>
        <r>
          <rPr>
            <b/>
            <sz val="10"/>
            <rFont val="Tahoma"/>
            <family val="2"/>
          </rPr>
          <t xml:space="preserve">Total operating expenses for the crop and livestock enterprises are shown on the Enterprise tab.  In addition to the these totals, the Enterprise tab allows for an overhead expense entry, on Row 57. 
The total costs of production for crops and livestock can be adjusted upward or downward using row 36 on this page, </t>
        </r>
        <r>
          <rPr>
            <b/>
            <sz val="10"/>
            <color indexed="10"/>
            <rFont val="Tahoma"/>
            <family val="2"/>
          </rPr>
          <t xml:space="preserve">however, overhead costs are not adjusted. </t>
        </r>
        <r>
          <rPr>
            <b/>
            <sz val="10"/>
            <rFont val="Tahoma"/>
            <family val="2"/>
          </rPr>
          <t xml:space="preserve"> The total costs for crop and livestock enterprises on the Enterprise tab are also not affected.  Only the results on this page are affected by using the adjustment factors on row 1 and row 36.</t>
        </r>
      </text>
    </comment>
    <comment ref="E1" authorId="0">
      <text>
        <r>
          <rPr>
            <b/>
            <sz val="10"/>
            <rFont val="Tahoma"/>
            <family val="2"/>
          </rPr>
          <t>To show the effects of a change in revenue, enter a percentage that is either greater than or less than 100%.  Revenue estimates made on the Enterprise tab are not affected by changing this cell value, only the results shown on this page are changed.</t>
        </r>
      </text>
    </comment>
    <comment ref="I1" authorId="0">
      <text>
        <r>
          <rPr>
            <b/>
            <sz val="10"/>
            <rFont val="Tahoma"/>
            <family val="2"/>
          </rPr>
          <t>To show the effects of a change in revenue, enter a percentage that is either greater than or less than 100%.  Revenue estimates made on the Enterprise tab are not affected by changing this cell value, only the results shown on this page are changed.</t>
        </r>
        <r>
          <rPr>
            <sz val="10"/>
            <rFont val="Tahoma"/>
            <family val="2"/>
          </rPr>
          <t xml:space="preserve">
</t>
        </r>
      </text>
    </comment>
    <comment ref="M1" authorId="0">
      <text>
        <r>
          <rPr>
            <b/>
            <sz val="10"/>
            <rFont val="Tahoma"/>
            <family val="2"/>
          </rPr>
          <t>To show the effects of a change in revenue, enter a percentage that is either greater than or less than 100%.  Revenue estimates made on the Enterprise tab are not affected by changing this cell value, only the results shown on this page are changed.</t>
        </r>
        <r>
          <rPr>
            <sz val="10"/>
            <rFont val="Tahoma"/>
            <family val="2"/>
          </rPr>
          <t xml:space="preserve">
</t>
        </r>
      </text>
    </comment>
  </commentList>
</comments>
</file>

<file path=xl/sharedStrings.xml><?xml version="1.0" encoding="utf-8"?>
<sst xmlns="http://schemas.openxmlformats.org/spreadsheetml/2006/main" count="1102" uniqueCount="696">
  <si>
    <t xml:space="preserve">Enter Numbers in </t>
  </si>
  <si>
    <t>Dark Blue</t>
  </si>
  <si>
    <t>on the following page, all others are calculated.</t>
  </si>
  <si>
    <t>Balance Sheet</t>
  </si>
  <si>
    <t>Cash on Hand</t>
  </si>
  <si>
    <t>Cash Income</t>
  </si>
  <si>
    <t>Non-Cash Income Adjustments</t>
  </si>
  <si>
    <t>Gross Revenue</t>
  </si>
  <si>
    <t>Cash Expense</t>
  </si>
  <si>
    <t>Depreciation</t>
  </si>
  <si>
    <t>Total Current Assets</t>
  </si>
  <si>
    <t>Cash Expense (Excluding Interest)</t>
  </si>
  <si>
    <t>Cash Interest</t>
  </si>
  <si>
    <t>Non-Current Assets</t>
  </si>
  <si>
    <t>Other Non-Cash Non-Interest Expense</t>
  </si>
  <si>
    <t>Taxable Income</t>
  </si>
  <si>
    <t>Mach. &amp; Equipment</t>
  </si>
  <si>
    <t>Total Current Liab.</t>
  </si>
  <si>
    <t>Combined State &amp; Fed Tax Rate</t>
  </si>
  <si>
    <t>Breeding Livestock</t>
  </si>
  <si>
    <t>Total Operating Expense</t>
  </si>
  <si>
    <t>Estimated Income Tax</t>
  </si>
  <si>
    <t>Real Estate</t>
  </si>
  <si>
    <t>Cash Int. Exp. - T.D. &amp; C.L.</t>
  </si>
  <si>
    <t>Cash Int. Exp. - Operating</t>
  </si>
  <si>
    <t>Total Business Assets</t>
  </si>
  <si>
    <t>Total Business Liab.</t>
  </si>
  <si>
    <t>Non-Cash Interest Expense</t>
  </si>
  <si>
    <t>Business Net Worth</t>
  </si>
  <si>
    <t>Total Expense</t>
  </si>
  <si>
    <t>Cash Flow Statement</t>
  </si>
  <si>
    <t>Operating Expenses</t>
  </si>
  <si>
    <t>Net Business Income From Operations</t>
  </si>
  <si>
    <t>Other Cash Business Expense</t>
  </si>
  <si>
    <t>Government Payments</t>
  </si>
  <si>
    <t>Cash Int. Exp. - T.D. &amp; C.L.*</t>
  </si>
  <si>
    <t>Net Business Income</t>
  </si>
  <si>
    <t>Other Cash business Income</t>
  </si>
  <si>
    <t>Income &amp; SS Taxes (Cash &amp; Non-Cash)</t>
  </si>
  <si>
    <t>Operating Loan Proceeds</t>
  </si>
  <si>
    <t>Statement of Owner Equity</t>
  </si>
  <si>
    <t>Beginning Net Worth (Cost/Mrkt)</t>
  </si>
  <si>
    <t>Owner withdrawals</t>
  </si>
  <si>
    <t>+</t>
  </si>
  <si>
    <t>Cash Taxes Paid (Income &amp; SS)</t>
  </si>
  <si>
    <t>Other Cash Outflows (Not Expenses)</t>
  </si>
  <si>
    <t>-</t>
  </si>
  <si>
    <t>Total Cash Inflows</t>
  </si>
  <si>
    <t>Total Cash Outflows</t>
  </si>
  <si>
    <t>* T.D. = Term Debt, C.L. = Capital Lease</t>
  </si>
  <si>
    <t>Calculated Ending Net Worth</t>
  </si>
  <si>
    <t>=</t>
  </si>
  <si>
    <t>Reported Ending Net Worth (Cost/Mrkt)</t>
  </si>
  <si>
    <t xml:space="preserve"> 2) Payment on Operating Debt Converted to Term from Previous Years</t>
  </si>
  <si>
    <t xml:space="preserve"> 3) Total Annual Payments on Personal Liabilities</t>
  </si>
  <si>
    <t xml:space="preserve">Financial Statement Ratios </t>
  </si>
  <si>
    <t>Liquidity</t>
  </si>
  <si>
    <t xml:space="preserve">    Current Ratio   </t>
  </si>
  <si>
    <t>Beginning</t>
  </si>
  <si>
    <t>Ending</t>
  </si>
  <si>
    <t xml:space="preserve">  Current Assets </t>
  </si>
  <si>
    <t xml:space="preserve">  divided by Current Liabilities</t>
  </si>
  <si>
    <t xml:space="preserve">    Working Capital</t>
  </si>
  <si>
    <t xml:space="preserve"> Current Assets </t>
  </si>
  <si>
    <t xml:space="preserve">  - Current Liabilities</t>
  </si>
  <si>
    <t>Solvency</t>
  </si>
  <si>
    <t xml:space="preserve">    Debt/Asset Ratio</t>
  </si>
  <si>
    <t xml:space="preserve"> Total Business Liabilities </t>
  </si>
  <si>
    <t xml:space="preserve"> divided by Total Business Assets</t>
  </si>
  <si>
    <t xml:space="preserve">    Equity/Asset Ratio</t>
  </si>
  <si>
    <t xml:space="preserve"> Total Business Equity </t>
  </si>
  <si>
    <t xml:space="preserve">    Debt/Equity Ratio</t>
  </si>
  <si>
    <t xml:space="preserve"> divided by Total Business Equity</t>
  </si>
  <si>
    <t>Profitability</t>
  </si>
  <si>
    <t xml:space="preserve">    Rate of Return on Business Assets</t>
  </si>
  <si>
    <t xml:space="preserve"> Net Business Income From Operations</t>
  </si>
  <si>
    <t xml:space="preserve"> + Business Interest Expense</t>
  </si>
  <si>
    <t xml:space="preserve"> - Value of Operator and Unpaid Family Labor &amp; Management</t>
  </si>
  <si>
    <t xml:space="preserve">   Divided by Average Total Business Assets</t>
  </si>
  <si>
    <t xml:space="preserve">    Rate of Return on Business Equity</t>
  </si>
  <si>
    <t xml:space="preserve">   Divided by Average Total Business Equity</t>
  </si>
  <si>
    <t xml:space="preserve">    Operating Profit Margin Ratio</t>
  </si>
  <si>
    <t xml:space="preserve">   Divided by Gross Revenue</t>
  </si>
  <si>
    <t xml:space="preserve">    Net Business Income</t>
  </si>
  <si>
    <t xml:space="preserve"> Calculated by Matching Revenues and Expense (Accrual) Plus </t>
  </si>
  <si>
    <t xml:space="preserve"> Gain or Loss on the Sale of Capital Assets</t>
  </si>
  <si>
    <t>Repayment Capacity</t>
  </si>
  <si>
    <t xml:space="preserve">    Term Debt and Capital Lease Coverage Ratio</t>
  </si>
  <si>
    <t xml:space="preserve"> + Total Non-Business Income</t>
  </si>
  <si>
    <t xml:space="preserve"> + Depreciation/Amortization Expense</t>
  </si>
  <si>
    <t xml:space="preserve"> + Interest on Term Debt</t>
  </si>
  <si>
    <t xml:space="preserve"> + Interest on Capital Leases</t>
  </si>
  <si>
    <t xml:space="preserve"> - Total Income Tax Expense</t>
  </si>
  <si>
    <t xml:space="preserve"> - Owner Withdrawals</t>
  </si>
  <si>
    <t>Divided by</t>
  </si>
  <si>
    <t>Ratio Value</t>
  </si>
  <si>
    <t xml:space="preserve">    Capital Replacement and Term Debt Repayment Margin</t>
  </si>
  <si>
    <t xml:space="preserve"> + Total Non-Business Income*</t>
  </si>
  <si>
    <t xml:space="preserve"> = Capital Replacement and Term Debt Repayment Capacity</t>
  </si>
  <si>
    <t xml:space="preserve"> - Payment on Unpaid Operating Debt From Prior Year</t>
  </si>
  <si>
    <t xml:space="preserve"> - Total Annual Payments on Personal Liabilities (if Not in Withdrawals)*</t>
  </si>
  <si>
    <t xml:space="preserve"> = Capital Replacement and Term Debt Repayment Margin</t>
  </si>
  <si>
    <t xml:space="preserve"> * To evaluate for the business only, do not include items marked with an *</t>
  </si>
  <si>
    <t>Financial Efficiency</t>
  </si>
  <si>
    <t xml:space="preserve">    Asset Turnover Ratio</t>
  </si>
  <si>
    <t xml:space="preserve"> Gross Revenues </t>
  </si>
  <si>
    <t xml:space="preserve"> divided by Average Total Business Assets</t>
  </si>
  <si>
    <t xml:space="preserve">    Operating Expense Ratio</t>
  </si>
  <si>
    <t xml:space="preserve"> Total Operating Expense</t>
  </si>
  <si>
    <t xml:space="preserve"> - Depreciation &amp; Amortization Expense</t>
  </si>
  <si>
    <t xml:space="preserve">   Divided by Gross Revenues</t>
  </si>
  <si>
    <t xml:space="preserve">    Depreciation Expense Ratio</t>
  </si>
  <si>
    <t xml:space="preserve"> Depreciation &amp; Amortization Expense </t>
  </si>
  <si>
    <t xml:space="preserve"> divided by Gross Revenues</t>
  </si>
  <si>
    <t xml:space="preserve">    Interest Expense Ratio</t>
  </si>
  <si>
    <t xml:space="preserve"> Total Business Interest Expense </t>
  </si>
  <si>
    <t xml:space="preserve">    Net Farm Income From Operations Ratio</t>
  </si>
  <si>
    <t xml:space="preserve"> Net Business Income From Operations </t>
  </si>
  <si>
    <t>Check Sum</t>
  </si>
  <si>
    <t>Discrepancy</t>
  </si>
  <si>
    <t>Net Income</t>
  </si>
  <si>
    <t>Non-Cash Feed Inventory Adjustment</t>
  </si>
  <si>
    <t>Assets</t>
  </si>
  <si>
    <t>Liabilities</t>
  </si>
  <si>
    <t>Cow-Calf</t>
  </si>
  <si>
    <t>Feeders</t>
  </si>
  <si>
    <t>Stockers</t>
  </si>
  <si>
    <t>Yield Per Unit</t>
  </si>
  <si>
    <t>Price Per Unit</t>
  </si>
  <si>
    <t>Other Revenue/Unit</t>
  </si>
  <si>
    <t>Expenses by Enterprise</t>
  </si>
  <si>
    <t>Sheep</t>
  </si>
  <si>
    <t>Cost by Enterprise</t>
  </si>
  <si>
    <t>Lvstk cost by enterprise</t>
  </si>
  <si>
    <t>Cost of production Overhead Percentage</t>
  </si>
  <si>
    <t>Mach &amp; Equip.</t>
  </si>
  <si>
    <t>Bldg &amp; Improvements</t>
  </si>
  <si>
    <t>Total Liabilities</t>
  </si>
  <si>
    <t>Percent Debt</t>
  </si>
  <si>
    <t xml:space="preserve">Annual </t>
  </si>
  <si>
    <t>Annual</t>
  </si>
  <si>
    <t>Interest</t>
  </si>
  <si>
    <t>Short Term</t>
  </si>
  <si>
    <t>Long Term</t>
  </si>
  <si>
    <t>Interest Rate</t>
  </si>
  <si>
    <t>Payment #</t>
  </si>
  <si>
    <t># Payments</t>
  </si>
  <si>
    <t>%</t>
  </si>
  <si>
    <t>Debt</t>
  </si>
  <si>
    <t>Total Livestock Revenue</t>
  </si>
  <si>
    <t>Period</t>
  </si>
  <si>
    <t>Total</t>
  </si>
  <si>
    <t>By Asset Type</t>
  </si>
  <si>
    <t>Shorter Term</t>
  </si>
  <si>
    <t>Remaining</t>
  </si>
  <si>
    <t>Livestock Enterprise</t>
  </si>
  <si>
    <t>Units (Bu, tons, lbs) Produced</t>
  </si>
  <si>
    <t>Crop and Forage Enterprises</t>
  </si>
  <si>
    <t>Cull Rate for Enterprise</t>
  </si>
  <si>
    <t>Mrkt &amp; Cull Livestock Sales</t>
  </si>
  <si>
    <t xml:space="preserve">      Mach &amp; Equip.</t>
  </si>
  <si>
    <t xml:space="preserve">  Bldg &amp; Improvements</t>
  </si>
  <si>
    <t xml:space="preserve">   Breeding Livestock</t>
  </si>
  <si>
    <t>Other brdg lvstk</t>
  </si>
  <si>
    <t>Subtotal</t>
  </si>
  <si>
    <t>Operating Loan Prin. Payments</t>
  </si>
  <si>
    <t>Cash Income (adj. for cull lvstk sales)</t>
  </si>
  <si>
    <t>Total Cull Revenue</t>
  </si>
  <si>
    <t>Base Value/Brding Animal</t>
  </si>
  <si>
    <t>Cash</t>
  </si>
  <si>
    <t>Base Value</t>
  </si>
  <si>
    <t>Animals Sold</t>
  </si>
  <si>
    <t>Capital</t>
  </si>
  <si>
    <t>Gain/Loss</t>
  </si>
  <si>
    <t>Bulls Only</t>
  </si>
  <si>
    <t>Cull Revenue Calculations</t>
  </si>
  <si>
    <t>Rams Only</t>
  </si>
  <si>
    <t>Sheep - Ewes</t>
  </si>
  <si>
    <t>Cows</t>
  </si>
  <si>
    <t>Other Brding Females</t>
  </si>
  <si>
    <t>Other Brding Males</t>
  </si>
  <si>
    <t>Enterprise Revenue</t>
  </si>
  <si>
    <t>Depreciation (Land, Bldgs, Equip.)</t>
  </si>
  <si>
    <t>Cull Female Price Per Unit</t>
  </si>
  <si>
    <t>Cull Female Animal Weight</t>
  </si>
  <si>
    <t>Cull Male Animal Weight</t>
  </si>
  <si>
    <t>Cull Male  Price Per Unit</t>
  </si>
  <si>
    <t>Avg. Number Females/Male</t>
  </si>
  <si>
    <t>Average Value Per Acre</t>
  </si>
  <si>
    <t>Cost per Pound Produced</t>
  </si>
  <si>
    <t>Sales Price Per Unit</t>
  </si>
  <si>
    <t xml:space="preserve">Non-Breeding Livestock Ent. </t>
  </si>
  <si>
    <t>Non-Business Inflows/Revenue</t>
  </si>
  <si>
    <t>Loan Prin. Payments - T.D. &amp; C.L.</t>
  </si>
  <si>
    <t>Prin. on T.D. &amp; C.L.</t>
  </si>
  <si>
    <t>Non-Current Liabilities</t>
  </si>
  <si>
    <t xml:space="preserve">  Scheduled Prin. &amp; Int. on Term Debt &amp; Cap. Lease</t>
  </si>
  <si>
    <t>Operating Loan Carryover</t>
  </si>
  <si>
    <t>Cost of Production (Crops &amp; Lvstk)</t>
  </si>
  <si>
    <t xml:space="preserve">      (MUST use a yield of   1   for summer fallow, price = zero)</t>
  </si>
  <si>
    <t>Purchase Weight Per Head (Enter in pounds)</t>
  </si>
  <si>
    <t>Purchase Cost Mrkt Lvstk (Dollars per pound)</t>
  </si>
  <si>
    <t>Change in Equity From Beginning to End of Year</t>
  </si>
  <si>
    <t>Bull/Ram/??? Purchase Cost</t>
  </si>
  <si>
    <t>Breeding Livestock Enterprises</t>
  </si>
  <si>
    <t>Crop/Forage Name</t>
  </si>
  <si>
    <t>Percent Acres Leased</t>
  </si>
  <si>
    <t>Asset</t>
  </si>
  <si>
    <t>Value</t>
  </si>
  <si>
    <t>Adjustment</t>
  </si>
  <si>
    <t>Total Dollars</t>
  </si>
  <si>
    <t xml:space="preserve"> +/-</t>
  </si>
  <si>
    <t xml:space="preserve"> 1) Value of Operator and Unpaid Family Labor &amp; Management</t>
  </si>
  <si>
    <r>
      <t xml:space="preserve">Asset </t>
    </r>
    <r>
      <rPr>
        <b/>
        <sz val="10"/>
        <color indexed="10"/>
        <rFont val="Times New Roman"/>
        <family val="1"/>
      </rPr>
      <t>Value</t>
    </r>
  </si>
  <si>
    <t>Debt/Asset Ratio</t>
  </si>
  <si>
    <t>Checksum</t>
  </si>
  <si>
    <t>Expense by</t>
  </si>
  <si>
    <t>Asset Type</t>
  </si>
  <si>
    <t xml:space="preserve">or Capital </t>
  </si>
  <si>
    <t>Replacement</t>
  </si>
  <si>
    <t xml:space="preserve">Depreciation </t>
  </si>
  <si>
    <t>Totals</t>
  </si>
  <si>
    <t>Breeding Livestock Asset Purchases</t>
  </si>
  <si>
    <t>Capital Asset Purchase</t>
  </si>
  <si>
    <t>Purchase</t>
  </si>
  <si>
    <t xml:space="preserve">Percent </t>
  </si>
  <si>
    <t>Financed</t>
  </si>
  <si>
    <t>Machinery &amp; Equipment</t>
  </si>
  <si>
    <t>Real Estate (Land &amp; Buildings)</t>
  </si>
  <si>
    <t>Additional</t>
  </si>
  <si>
    <t xml:space="preserve">Ending </t>
  </si>
  <si>
    <t>Added</t>
  </si>
  <si>
    <t xml:space="preserve">Added </t>
  </si>
  <si>
    <t>End Next Yr</t>
  </si>
  <si>
    <t>Loan Proceeds Capital Assets</t>
  </si>
  <si>
    <t>Mach &amp; Equip &amp; Real Estate Purchase</t>
  </si>
  <si>
    <t>Inflows</t>
  </si>
  <si>
    <t>OutFlows</t>
  </si>
  <si>
    <t>Income</t>
  </si>
  <si>
    <t>Income Statement - Accrual Adj.</t>
  </si>
  <si>
    <t>Expense</t>
  </si>
  <si>
    <t>Total Cropland Value</t>
  </si>
  <si>
    <t>Total Rangeland Value</t>
  </si>
  <si>
    <t>Total Real Estate (Crop + Range)</t>
  </si>
  <si>
    <t>Total Asset Value</t>
  </si>
  <si>
    <t xml:space="preserve">Beginning and Ending Liability Estimates </t>
  </si>
  <si>
    <t>Real Estate (Land, Bldgs, Impr)</t>
  </si>
  <si>
    <t>Asset and Liability Calculations for the Balance Sheet, Cash Flow and Income Statement</t>
  </si>
  <si>
    <t>Click button to print all input, statements, and ratios in this file&gt;&gt;</t>
  </si>
  <si>
    <r>
      <t xml:space="preserve">Only information in </t>
    </r>
    <r>
      <rPr>
        <b/>
        <sz val="11"/>
        <color indexed="12"/>
        <rFont val="Times New Roman"/>
        <family val="1"/>
      </rPr>
      <t>blue text</t>
    </r>
    <r>
      <rPr>
        <sz val="11"/>
        <rFont val="Times New Roman"/>
        <family val="1"/>
      </rPr>
      <t xml:space="preserve"> can be changed/entered.  All other information is calculated or fixed.  </t>
    </r>
  </si>
  <si>
    <t>Other Nonfarm Inflows</t>
  </si>
  <si>
    <t xml:space="preserve">   Percent Gov. Payments</t>
  </si>
  <si>
    <t>Tenant Share Lease Percentage</t>
  </si>
  <si>
    <t>Crop Acres/Units Owned</t>
  </si>
  <si>
    <t>Livestock Acres Owned</t>
  </si>
  <si>
    <t>Avg. Cost Per Unit of Yield</t>
  </si>
  <si>
    <t>Total Owner/Tenant Revenue Received</t>
  </si>
  <si>
    <t>Total Enterprise Crop Revenue</t>
  </si>
  <si>
    <t>Total Enterprise Gov. Payments</t>
  </si>
  <si>
    <t>Number of Acres Per Enterprise</t>
  </si>
  <si>
    <t>Avg. Lbs Prod. Per Animal</t>
  </si>
  <si>
    <t>Percent Crop Revenue</t>
  </si>
  <si>
    <t xml:space="preserve">  Percent Livestock Revenue</t>
  </si>
  <si>
    <t>Lease Payments going To Others</t>
  </si>
  <si>
    <t>Gov. Payments Going To Others</t>
  </si>
  <si>
    <t>Total Livestock Cost Of Production</t>
  </si>
  <si>
    <t>Total Crop Cost of Production</t>
  </si>
  <si>
    <t>Percent Cost of Production - Crops</t>
  </si>
  <si>
    <t>Percent cost of Production - Livestock</t>
  </si>
  <si>
    <t>Principal</t>
  </si>
  <si>
    <t>Current Principal</t>
  </si>
  <si>
    <t>Supplies&amp;Prepaid Exp. (Exp)</t>
  </si>
  <si>
    <t>Written by Duane Griffith</t>
  </si>
  <si>
    <t>Montana State University</t>
  </si>
  <si>
    <t>210 Linfield Hall</t>
  </si>
  <si>
    <t>Bozeman, MT  59717</t>
  </si>
  <si>
    <t>griffith@montana.edu</t>
  </si>
  <si>
    <t>406-994-2580</t>
  </si>
  <si>
    <t>To check for updates of this software, click the link below.</t>
  </si>
  <si>
    <t>Last update</t>
  </si>
  <si>
    <t xml:space="preserve">Loan </t>
  </si>
  <si>
    <t>Proceeds</t>
  </si>
  <si>
    <t>Received</t>
  </si>
  <si>
    <t>Purchased</t>
  </si>
  <si>
    <t>This Year</t>
  </si>
  <si>
    <t xml:space="preserve">on Assets </t>
  </si>
  <si>
    <t>Exemptions and Standard Deductions</t>
  </si>
  <si>
    <t>Taxable Income After Exemptions and Standard Deductions</t>
  </si>
  <si>
    <t>Quick (and Dirty) Income Tax Calculation For Cash Basis Taxpayer</t>
  </si>
  <si>
    <t>Include Taxes In the Statements at Left      (Y = Yes, N= No)</t>
  </si>
  <si>
    <t>Additional Information Needed for Ratios</t>
  </si>
  <si>
    <t>or Distribution</t>
  </si>
  <si>
    <t>Owner Withdrawals (Cash)</t>
  </si>
  <si>
    <t>Asset Valuation Change or Cont./Distrib.</t>
  </si>
  <si>
    <t>Non-Business Cash Inflows</t>
  </si>
  <si>
    <t>Inventory</t>
  </si>
  <si>
    <t xml:space="preserve">Current </t>
  </si>
  <si>
    <t>Value From</t>
  </si>
  <si>
    <t>Accrual</t>
  </si>
  <si>
    <t>Statement</t>
  </si>
  <si>
    <t>Total Non Cash Income Adjustment made to the Income Statement</t>
  </si>
  <si>
    <r>
      <t>(+/-)</t>
    </r>
    <r>
      <rPr>
        <sz val="10"/>
        <rFont val="Helv"/>
        <family val="0"/>
      </rPr>
      <t xml:space="preserve"> to the</t>
    </r>
  </si>
  <si>
    <t>Non-Cash Income (Raised Brdg Lvstk)</t>
  </si>
  <si>
    <t>Annual Net Cash Flow (never &lt; zero)</t>
  </si>
  <si>
    <t>Crops Held for Feed (Exp)</t>
  </si>
  <si>
    <t>Crops Held for Sale (Inc)</t>
  </si>
  <si>
    <t>Market Livestock (Inc)</t>
  </si>
  <si>
    <t>Cash Invt Growing Crops (Exp)</t>
  </si>
  <si>
    <t>Other Current Assets (Inc)</t>
  </si>
  <si>
    <t>Accounts Payable (Exp)</t>
  </si>
  <si>
    <t>Other Current Liability (Exp)</t>
  </si>
  <si>
    <r>
      <t>Expense</t>
    </r>
    <r>
      <rPr>
        <b/>
        <sz val="12"/>
        <rFont val="Helv"/>
        <family val="0"/>
      </rPr>
      <t xml:space="preserve"> Accrual Adjustments made on the Accrual Income Statement</t>
    </r>
  </si>
  <si>
    <r>
      <t>Income</t>
    </r>
    <r>
      <rPr>
        <b/>
        <sz val="12"/>
        <rFont val="Helv"/>
        <family val="0"/>
      </rPr>
      <t xml:space="preserve"> Accrual Adjustments from Current Assets on the Balance Sheet</t>
    </r>
  </si>
  <si>
    <t>Def. Tax on Current Assets</t>
  </si>
  <si>
    <t>Short Term Notes Payable (Exp)</t>
  </si>
  <si>
    <r>
      <t>Only</t>
    </r>
    <r>
      <rPr>
        <sz val="10"/>
        <rFont val="Helv"/>
        <family val="0"/>
      </rPr>
      <t xml:space="preserve"> Accrual Adjustment Portion of Taxes</t>
    </r>
  </si>
  <si>
    <t>Accrued Interest (Exp)</t>
  </si>
  <si>
    <t xml:space="preserve"> &lt;&lt; This line is not adjusted on the Income Statement. </t>
  </si>
  <si>
    <t>Please read the comment on the Statements page of this spreadsheet.</t>
  </si>
  <si>
    <t>function and reconciliation of the financial statements.</t>
  </si>
  <si>
    <t>This line is provided to help illustrate the Statement of Owner Equity's</t>
  </si>
  <si>
    <t>Capital Gain/Loss on Breeding Lvstk (Net)</t>
  </si>
  <si>
    <t>Bulls are assumed to have a three year life and are always fully depreciated when they are sold.</t>
  </si>
  <si>
    <t>The beginning and ending values on the balance sheet for current assets and liabilities are (should) always be the same.</t>
  </si>
  <si>
    <t>Price or</t>
  </si>
  <si>
    <t>of Asset</t>
  </si>
  <si>
    <t>Asset Value</t>
  </si>
  <si>
    <t xml:space="preserve">Plus for </t>
  </si>
  <si>
    <t>+ Contribution</t>
  </si>
  <si>
    <r>
      <t>-</t>
    </r>
    <r>
      <rPr>
        <sz val="10"/>
        <rFont val="Times New Roman"/>
        <family val="1"/>
      </rPr>
      <t xml:space="preserve"> for </t>
    </r>
    <r>
      <rPr>
        <b/>
        <sz val="10"/>
        <color indexed="10"/>
        <rFont val="Times New Roman"/>
        <family val="1"/>
      </rPr>
      <t>Distribution</t>
    </r>
  </si>
  <si>
    <t xml:space="preserve">Purchased </t>
  </si>
  <si>
    <t>or Contribution</t>
  </si>
  <si>
    <t>Asset that is</t>
  </si>
  <si>
    <t>See the Enterprise tab, cells I21 throught J31 for the non-cash value of raised breeding livestock.</t>
  </si>
  <si>
    <t>Labels starting in column B on this tab are from the Accrual Adjusted Income Statement</t>
  </si>
  <si>
    <t xml:space="preserve">Labels starting in column C on this tab are from the Balance Sheet </t>
  </si>
  <si>
    <r>
      <t xml:space="preserve">on the Statements tab and are </t>
    </r>
    <r>
      <rPr>
        <b/>
        <sz val="12"/>
        <color indexed="12"/>
        <rFont val="Helv"/>
        <family val="0"/>
      </rPr>
      <t>shown in this color font.</t>
    </r>
  </si>
  <si>
    <r>
      <t xml:space="preserve"> on the Statements tab and are </t>
    </r>
    <r>
      <rPr>
        <b/>
        <sz val="12"/>
        <color indexed="16"/>
        <rFont val="Helv"/>
        <family val="0"/>
      </rPr>
      <t>shown in this color font.</t>
    </r>
  </si>
  <si>
    <t xml:space="preserve">No asset sales, or death loss of breeding livestock, etc. is allowed in this spreadsheet.  </t>
  </si>
  <si>
    <t xml:space="preserve">This program uses only business assets and liabilities in the reconciliation process. Personal (Non-Business Assets and Liabilities) items are ignored. </t>
  </si>
  <si>
    <t xml:space="preserve"> However, non-business cash inflows and outflows are considered for correct Cash Flow calculations. (Off Farm wages, family living expenditures, etc.)</t>
  </si>
  <si>
    <t>Due to the design of this spreadsheet, interest and depreciation are handled separately from the basic cost of production figures entered</t>
  </si>
  <si>
    <t>It is important that these numbers are separated out of the enterprise cost of production figures, to the best of your ability, remembering</t>
  </si>
  <si>
    <t>for each enterprise.  This is necessary to calculate and display principle and interest for all loans on the various financial statements.</t>
  </si>
  <si>
    <t>that this template is basically designed to teach interaction of and how to interrupt financial statements.</t>
  </si>
  <si>
    <t>Separate  out:</t>
  </si>
  <si>
    <t>Interest or opportunity costs charged on capital assets</t>
  </si>
  <si>
    <t xml:space="preserve">This eliminates accrual adjustments on the income statement prior to the user entering or changing a specific number to </t>
  </si>
  <si>
    <t>show an accrual income or expense. It simplifies teaching the concepts.</t>
  </si>
  <si>
    <t>Interest or opportunity costs charged on operating costs</t>
  </si>
  <si>
    <t>Depreciation on capital assets included in the enterprise costs</t>
  </si>
  <si>
    <r>
      <t xml:space="preserve">List of </t>
    </r>
    <r>
      <rPr>
        <b/>
        <sz val="12"/>
        <rFont val="Times New Roman"/>
        <family val="1"/>
      </rPr>
      <t>defaults and/or assumptions</t>
    </r>
    <r>
      <rPr>
        <sz val="12"/>
        <rFont val="Times New Roman"/>
        <family val="1"/>
      </rPr>
      <t xml:space="preserve"> used in this spreadsheet template.</t>
    </r>
  </si>
  <si>
    <t>See the Enterprise tab of this template in cell block I21 throught L31.</t>
  </si>
  <si>
    <t>All bull revenue is treated just like "ordinary income," even though it is listed under Capital Gains/Loss on Breeding Livestock.</t>
  </si>
  <si>
    <t xml:space="preserve">Bulls (or other male breeding livestock, Rams for example) are the only type of purchased breeding livestock included in the initial setup. </t>
  </si>
  <si>
    <t>Female breeding livestock are always raised and assigned a base value by the user. However, the user can enter any type</t>
  </si>
  <si>
    <t>in cell A81</t>
  </si>
  <si>
    <t>Purchase/Contribute/Distribute Section</t>
  </si>
  <si>
    <r>
      <t xml:space="preserve">of purchased breeding livestock on the Enterprise tab under the </t>
    </r>
    <r>
      <rPr>
        <b/>
        <sz val="12"/>
        <rFont val="Times New Roman"/>
        <family val="1"/>
      </rPr>
      <t xml:space="preserve">Purchase/Contribute/Distribute Capital Asset </t>
    </r>
    <r>
      <rPr>
        <sz val="12"/>
        <rFont val="Times New Roman"/>
        <family val="1"/>
      </rPr>
      <t>section starting</t>
    </r>
  </si>
  <si>
    <t xml:space="preserve">Some basic assumptions about timing are included when making entries to illustrate assest purchases, receiving captial contributions, </t>
  </si>
  <si>
    <t xml:space="preserve">year and no reduction in revenue occurs because of the asset's disappearance from the balance sheet during the year. </t>
  </si>
  <si>
    <t xml:space="preserve">or making capital distributions. </t>
  </si>
  <si>
    <t xml:space="preserve">It is always assumed, in this system of financial statements, that these activities happen at the end of the </t>
  </si>
  <si>
    <t>year when there is no opportunity for a purchased or contributed asset to generate any additional</t>
  </si>
  <si>
    <t xml:space="preserve">The assumption with distributed assests is the revenue from that particular asset has already been received during the </t>
  </si>
  <si>
    <t xml:space="preserve">revenue to be included in this analysis year.  </t>
  </si>
  <si>
    <t>reducing the expense stream, hence increasing net income.</t>
  </si>
  <si>
    <r>
      <t xml:space="preserve">This assumptions helps to illustrate the fact that the mear purchase of an asset will not increase equity, I.e. </t>
    </r>
    <r>
      <rPr>
        <b/>
        <sz val="12"/>
        <rFont val="Times New Roman"/>
        <family val="1"/>
      </rPr>
      <t>you can</t>
    </r>
    <r>
      <rPr>
        <sz val="12"/>
        <rFont val="Times New Roman"/>
        <family val="1"/>
      </rPr>
      <t xml:space="preserve"> </t>
    </r>
  </si>
  <si>
    <r>
      <t>not buy equity</t>
    </r>
    <r>
      <rPr>
        <sz val="12"/>
        <rFont val="Times New Roman"/>
        <family val="1"/>
      </rPr>
      <t xml:space="preserve">.  You must employ the asset in a manner that earns equity through increasing the revenue stream or </t>
    </r>
  </si>
  <si>
    <t>N</t>
  </si>
  <si>
    <t>No Interest &gt;</t>
  </si>
  <si>
    <t>No. Animal Exposed/Fed/Finished</t>
  </si>
  <si>
    <t xml:space="preserve">  &lt;&lt; Example, enter 2% as 2% not 102%.</t>
  </si>
  <si>
    <t>If using the purchase capital asset section on the Enterprise tab, the assumption is that, if financied, no P &amp; I payment is made on the asset</t>
  </si>
  <si>
    <t xml:space="preserve">during the year of purchase.  Other expenses like taxes, and insurance are also not made during the year of purchase.  </t>
  </si>
  <si>
    <t>Cost Per Breeder/Feeder Animal</t>
  </si>
  <si>
    <t>APH Yield History</t>
  </si>
  <si>
    <t>Market Price Election</t>
  </si>
  <si>
    <t>Help</t>
  </si>
  <si>
    <t>Y</t>
  </si>
  <si>
    <t>FCIC Establish Market Price</t>
  </si>
  <si>
    <t>Calculated Yield Coveage Level</t>
  </si>
  <si>
    <t>Quantiity Indemnity Payment Level</t>
  </si>
  <si>
    <t>Calculated Market Price Coverage Level</t>
  </si>
  <si>
    <t>Cull Income</t>
  </si>
  <si>
    <t xml:space="preserve">Enter a Y for each crop covered crop that you would like to insure. </t>
  </si>
  <si>
    <t>APH Yield Coverage Election-by Crop</t>
  </si>
  <si>
    <t>Basic Unit     1 of 3</t>
  </si>
  <si>
    <t>Basic Unit      2 of 3</t>
  </si>
  <si>
    <t>Basic Unit      3 of 3</t>
  </si>
  <si>
    <t>Acres of each crop in Basic Unit # 3</t>
  </si>
  <si>
    <t>Acres of each crop in Basic Unit # 2</t>
  </si>
  <si>
    <t>Acres of each crop in Basic Unit # 1</t>
  </si>
  <si>
    <t>Actual Harvested Yield</t>
  </si>
  <si>
    <t>Total Potential Indemnity Payment</t>
  </si>
  <si>
    <r>
      <t xml:space="preserve">Acres Remaining </t>
    </r>
    <r>
      <rPr>
        <sz val="10"/>
        <color indexed="10"/>
        <rFont val="Helv"/>
        <family val="0"/>
      </rPr>
      <t>after allocation</t>
    </r>
    <r>
      <rPr>
        <sz val="10"/>
        <rFont val="Helv"/>
        <family val="0"/>
      </rPr>
      <t xml:space="preserve"> to Basic Unit # 1</t>
    </r>
  </si>
  <si>
    <r>
      <t xml:space="preserve">Acres Remaining </t>
    </r>
    <r>
      <rPr>
        <sz val="10"/>
        <color indexed="10"/>
        <rFont val="Helv"/>
        <family val="0"/>
      </rPr>
      <t>after allocation</t>
    </r>
    <r>
      <rPr>
        <sz val="10"/>
        <rFont val="Helv"/>
        <family val="0"/>
      </rPr>
      <t xml:space="preserve"> to Basic Unit # 2</t>
    </r>
  </si>
  <si>
    <r>
      <t xml:space="preserve">Acres Remaining </t>
    </r>
    <r>
      <rPr>
        <sz val="10"/>
        <color indexed="10"/>
        <rFont val="Helv"/>
        <family val="0"/>
      </rPr>
      <t>after allocation to ALL Posible Basic Units</t>
    </r>
    <r>
      <rPr>
        <sz val="10"/>
        <rFont val="Helv"/>
        <family val="0"/>
      </rPr>
      <t xml:space="preserve"> Insured (In This Example, only 3 units available)</t>
    </r>
  </si>
  <si>
    <t>Premium Payment by Crop for All Basic Units</t>
  </si>
  <si>
    <t xml:space="preserve">Percentage Premium Subsidy </t>
  </si>
  <si>
    <t>Total Premium Actually Paid</t>
  </si>
  <si>
    <t>Quantiity Indemnity Payment Level (bu/cwt)</t>
  </si>
  <si>
    <t>Total Indemnity Paid Given Actual Yields</t>
  </si>
  <si>
    <t>Estimated Indemnity Based on Acutal Yields</t>
  </si>
  <si>
    <t>Esttimated Total Indemnity This Basic Unit</t>
  </si>
  <si>
    <t>Total Potential Indemnity Payment This Basic Unit</t>
  </si>
  <si>
    <t>Net Benefit of Crop Insurance</t>
  </si>
  <si>
    <t>Crop Sales &amp; Net Insurance Payments</t>
  </si>
  <si>
    <t>Activate MPCI Basic Unit Insurance Option (Y or N) &gt;&gt;</t>
  </si>
  <si>
    <r>
      <t xml:space="preserve">MPCI </t>
    </r>
    <r>
      <rPr>
        <b/>
        <sz val="10"/>
        <color indexed="10"/>
        <rFont val="Helv"/>
        <family val="0"/>
      </rPr>
      <t>Basic Unit</t>
    </r>
    <r>
      <rPr>
        <b/>
        <sz val="10"/>
        <rFont val="Helv"/>
        <family val="0"/>
      </rPr>
      <t xml:space="preserve"> Insurance Option:  Example below allows</t>
    </r>
    <r>
      <rPr>
        <b/>
        <sz val="10"/>
        <color indexed="10"/>
        <rFont val="Helv"/>
        <family val="0"/>
      </rPr>
      <t xml:space="preserve"> only 3 Basic Units</t>
    </r>
    <r>
      <rPr>
        <b/>
        <sz val="10"/>
        <rFont val="Helv"/>
        <family val="0"/>
      </rPr>
      <t xml:space="preserve"> for illustrative purposes.</t>
    </r>
  </si>
  <si>
    <t>Total cost of production, Crops and Livestock</t>
  </si>
  <si>
    <t>Ownership Level This Basic Unit</t>
  </si>
  <si>
    <t>Crop Qualifites for MPCI Coverage (Y or N)  &gt;&gt;</t>
  </si>
  <si>
    <t>Maximum Possible Indemnity Payment by Crop</t>
  </si>
  <si>
    <t>Cost/unit adjustment for leased acres</t>
  </si>
  <si>
    <t>n</t>
  </si>
  <si>
    <t xml:space="preserve">Premium </t>
  </si>
  <si>
    <t>Subsidy</t>
  </si>
  <si>
    <t>Factor</t>
  </si>
  <si>
    <t>Level</t>
  </si>
  <si>
    <t>Coverage</t>
  </si>
  <si>
    <t>MPCI Coverage levels and Insurance Premium Subsidy Factors (Feb. 2005)</t>
  </si>
  <si>
    <t>Base Acreage by Enterprise</t>
  </si>
  <si>
    <t>Direct Payment Rate by Commodity</t>
  </si>
  <si>
    <t>Direct Payment Yield by Commodity</t>
  </si>
  <si>
    <t>Percent of Base Leased from Others</t>
  </si>
  <si>
    <t>Government Payments:</t>
  </si>
  <si>
    <t>Livestock Produciton/Sales Estimates:</t>
  </si>
  <si>
    <t>Crop Production/Sales Estimates:</t>
  </si>
  <si>
    <t>Name for each Enterprise</t>
  </si>
  <si>
    <t>Direct Payments Per Base Acre</t>
  </si>
  <si>
    <t>Counter Cyclical Payments:</t>
  </si>
  <si>
    <t>Row Totals</t>
  </si>
  <si>
    <t>Direct Payment Calculations:</t>
  </si>
  <si>
    <t>Commodity</t>
  </si>
  <si>
    <t>Unit</t>
  </si>
  <si>
    <t>barley</t>
  </si>
  <si>
    <t>per bushel</t>
  </si>
  <si>
    <t>corn</t>
  </si>
  <si>
    <t>grain sorghum</t>
  </si>
  <si>
    <t>oats</t>
  </si>
  <si>
    <t>other oilseeds</t>
  </si>
  <si>
    <t>peanuts</t>
  </si>
  <si>
    <t>per ton</t>
  </si>
  <si>
    <t>rice</t>
  </si>
  <si>
    <t>soybeans</t>
  </si>
  <si>
    <t>upland cotton</t>
  </si>
  <si>
    <t>per pound</t>
  </si>
  <si>
    <t>wheat</t>
  </si>
  <si>
    <t>2002--03</t>
  </si>
  <si>
    <t>2004--07</t>
  </si>
  <si>
    <t>per Cwt.</t>
  </si>
  <si>
    <t>Counter Cyclical Payment Target Price Schedule as of February 2005.</t>
  </si>
  <si>
    <t>Government Payments, excluding share paid to landlords</t>
  </si>
  <si>
    <t>Total Number of Planted Acres in This Enterprise</t>
  </si>
  <si>
    <t>Premium Rate Percenage</t>
  </si>
  <si>
    <t>Actual Premium Paid by Producer</t>
  </si>
  <si>
    <t>Green</t>
  </si>
  <si>
    <t>Yellow</t>
  </si>
  <si>
    <t>Red</t>
  </si>
  <si>
    <t>&gt;1.50</t>
  </si>
  <si>
    <t>&lt;.30</t>
  </si>
  <si>
    <t>&gt;.70</t>
  </si>
  <si>
    <t>&lt;.40</t>
  </si>
  <si>
    <t>&lt;.50</t>
  </si>
  <si>
    <t>&lt;1.0</t>
  </si>
  <si>
    <t>Positive Number</t>
  </si>
  <si>
    <t>.30 to .60</t>
  </si>
  <si>
    <t>.50 to 1.50</t>
  </si>
  <si>
    <t>&gt;2</t>
  </si>
  <si>
    <t>1 to 2</t>
  </si>
  <si>
    <t>&lt;1</t>
  </si>
  <si>
    <t>30% to 60%</t>
  </si>
  <si>
    <t>&gt;60%</t>
  </si>
  <si>
    <t>&gt;70%</t>
  </si>
  <si>
    <t>40% to 70%</t>
  </si>
  <si>
    <t>&lt;40%</t>
  </si>
  <si>
    <t>&gt;150%</t>
  </si>
  <si>
    <t>&gt;5%</t>
  </si>
  <si>
    <t>1% to 5%</t>
  </si>
  <si>
    <t>&lt;1%</t>
  </si>
  <si>
    <t>&gt;10%</t>
  </si>
  <si>
    <t>5% to 10%</t>
  </si>
  <si>
    <t>&lt;5%</t>
  </si>
  <si>
    <t>&gt;35%</t>
  </si>
  <si>
    <t>20% to 35%</t>
  </si>
  <si>
    <t>&lt;20%</t>
  </si>
  <si>
    <t>&gt;135%</t>
  </si>
  <si>
    <t>110% to 135%</t>
  </si>
  <si>
    <t>&lt;110%</t>
  </si>
  <si>
    <t>&gt;40%</t>
  </si>
  <si>
    <t>20% to 40%</t>
  </si>
  <si>
    <t>&lt;60%</t>
  </si>
  <si>
    <t>60% to 80%</t>
  </si>
  <si>
    <t>&gt;80%</t>
  </si>
  <si>
    <t>&lt;10%</t>
  </si>
  <si>
    <t>10% to 20%</t>
  </si>
  <si>
    <t>&gt;20%</t>
  </si>
  <si>
    <t>&lt;43%</t>
  </si>
  <si>
    <t>43% to 150%</t>
  </si>
  <si>
    <t>&lt;30%</t>
  </si>
  <si>
    <t>Case Farm</t>
  </si>
  <si>
    <t>Larger</t>
  </si>
  <si>
    <t>Smaller</t>
  </si>
  <si>
    <t>.40 to .70</t>
  </si>
  <si>
    <t>1.0 to 1.50</t>
  </si>
  <si>
    <t>Generally</t>
  </si>
  <si>
    <t>Better If</t>
  </si>
  <si>
    <t>Average</t>
  </si>
  <si>
    <t>High Profit</t>
  </si>
  <si>
    <t>32%</t>
  </si>
  <si>
    <t>16%</t>
  </si>
  <si>
    <t>18%</t>
  </si>
  <si>
    <t>6%</t>
  </si>
  <si>
    <t>14%</t>
  </si>
  <si>
    <t>7%</t>
  </si>
  <si>
    <t>26%</t>
  </si>
  <si>
    <t>3.1</t>
  </si>
  <si>
    <t>3.3</t>
  </si>
  <si>
    <t>43%</t>
  </si>
  <si>
    <t>35%</t>
  </si>
  <si>
    <t>63%</t>
  </si>
  <si>
    <t>52%</t>
  </si>
  <si>
    <t>8%</t>
  </si>
  <si>
    <t>37%</t>
  </si>
  <si>
    <t>20%</t>
  </si>
  <si>
    <t>1.00 to 1.50</t>
  </si>
  <si>
    <t>&lt;1.00</t>
  </si>
  <si>
    <t>Compare to Business Expense; Depends on Scope of Operation</t>
  </si>
  <si>
    <t>20% to 60%</t>
  </si>
  <si>
    <t xml:space="preserve">          Debt to Asset (mostly rented/leased land)</t>
  </si>
  <si>
    <t>30% to 70%</t>
  </si>
  <si>
    <t>40% to 80%</t>
  </si>
  <si>
    <t xml:space="preserve">        Equity to Asset (mostly rented/leased land)</t>
  </si>
  <si>
    <t>&lt;25%</t>
  </si>
  <si>
    <t>25% to 150%</t>
  </si>
  <si>
    <t xml:space="preserve">        Debt to Equity (mostly rented/leased land)</t>
  </si>
  <si>
    <t>&lt;42%</t>
  </si>
  <si>
    <t>42% to 230%</t>
  </si>
  <si>
    <t>&gt;230%</t>
  </si>
  <si>
    <t xml:space="preserve">        Rate of Return on Business Assets (mostly leased land)</t>
  </si>
  <si>
    <t>&gt;11%</t>
  </si>
  <si>
    <t>3% to 11%</t>
  </si>
  <si>
    <t>&lt;3%</t>
  </si>
  <si>
    <t>&gt;25%</t>
  </si>
  <si>
    <t>10% to 25%</t>
  </si>
  <si>
    <t>&lt;55%</t>
  </si>
  <si>
    <t>55% to 65%</t>
  </si>
  <si>
    <t>&gt;65%</t>
  </si>
  <si>
    <t xml:space="preserve">        Operating Expense Ratio (mostly leased land)</t>
  </si>
  <si>
    <t>&lt;65%</t>
  </si>
  <si>
    <t>65 to 75%</t>
  </si>
  <si>
    <t>&gt;75%</t>
  </si>
  <si>
    <t>Compare to capital replacement and term debt repayment margin</t>
  </si>
  <si>
    <t>Look at trends; varies with cyclical nature of agriculture prices &amp; incomes</t>
  </si>
  <si>
    <t>110% to 150%</t>
  </si>
  <si>
    <t>Depends on type of operation &amp; owned versus lease</t>
  </si>
  <si>
    <t>University</t>
  </si>
  <si>
    <t>of Minnesota</t>
  </si>
  <si>
    <t>Financial Statement Ratios and Measures</t>
  </si>
  <si>
    <t>Green = Sound Financially      Yellow = Caution         Red = Take Immediate Action</t>
  </si>
  <si>
    <r>
      <t>University of Nebraska</t>
    </r>
    <r>
      <rPr>
        <vertAlign val="superscript"/>
        <sz val="11"/>
        <rFont val="Times New Roman"/>
        <family val="1"/>
      </rPr>
      <t>1,2</t>
    </r>
  </si>
  <si>
    <r>
      <t>University of Vermont Extension</t>
    </r>
    <r>
      <rPr>
        <vertAlign val="superscript"/>
        <sz val="11"/>
        <rFont val="Times New Roman"/>
        <family val="1"/>
      </rPr>
      <t>3</t>
    </r>
  </si>
  <si>
    <r>
      <t>Purdue University</t>
    </r>
    <r>
      <rPr>
        <vertAlign val="superscript"/>
        <sz val="12"/>
        <rFont val="Times New Roman"/>
        <family val="1"/>
      </rPr>
      <t>4</t>
    </r>
  </si>
  <si>
    <r>
      <t>Purdue University</t>
    </r>
    <r>
      <rPr>
        <vertAlign val="superscript"/>
        <sz val="12"/>
        <rFont val="Times New Roman"/>
        <family val="1"/>
      </rPr>
      <t>5</t>
    </r>
  </si>
  <si>
    <r>
      <t>FinBin</t>
    </r>
    <r>
      <rPr>
        <vertAlign val="superscript"/>
        <sz val="12"/>
        <rFont val="Times New Roman"/>
        <family val="1"/>
      </rPr>
      <t>6</t>
    </r>
  </si>
  <si>
    <r>
      <t>1</t>
    </r>
    <r>
      <rPr>
        <sz val="10"/>
        <rFont val="Times New Roman"/>
        <family val="1"/>
      </rPr>
      <t>Source:  Nebraska Farm Business Association</t>
    </r>
  </si>
  <si>
    <r>
      <t>2</t>
    </r>
    <r>
      <rPr>
        <sz val="10"/>
        <rFont val="Times New Roman"/>
        <family val="1"/>
      </rPr>
      <t xml:space="preserve"> Source: Achieving Success With a Business Plan, University of Nebraska, John Wichmann, John Hanson and Thomas Dorn</t>
    </r>
  </si>
  <si>
    <r>
      <t>3</t>
    </r>
    <r>
      <rPr>
        <sz val="10"/>
        <rFont val="Times New Roman"/>
        <family val="1"/>
      </rPr>
      <t>Developed by: Rick Wackernagel, Dennis Kauppila, and Glenn Rogers, University of Vermont Extension, 1998</t>
    </r>
  </si>
  <si>
    <r>
      <t>5</t>
    </r>
    <r>
      <rPr>
        <sz val="10"/>
        <rFont val="Times New Roman"/>
        <family val="1"/>
      </rPr>
      <t xml:space="preserve"> Purdue University,</t>
    </r>
    <r>
      <rPr>
        <i/>
        <sz val="10"/>
        <rFont val="Times New Roman"/>
        <family val="1"/>
      </rPr>
      <t xml:space="preserve"> Interpreting Financial Performance Measures</t>
    </r>
    <r>
      <rPr>
        <sz val="10"/>
        <rFont val="Times New Roman"/>
        <family val="1"/>
      </rPr>
      <t>, William Edwards, 1998</t>
    </r>
  </si>
  <si>
    <r>
      <t>6</t>
    </r>
    <r>
      <rPr>
        <sz val="10"/>
        <rFont val="Times New Roman"/>
        <family val="1"/>
      </rPr>
      <t>University of Minnesota, Summary FinBin report, Average of ALL farms in Database from 1993 to 2004.</t>
    </r>
  </si>
  <si>
    <t>Value Range</t>
  </si>
  <si>
    <t>Total Interest Expense</t>
  </si>
  <si>
    <t>Cash Operating interest</t>
  </si>
  <si>
    <t>Non-cash Interest</t>
  </si>
  <si>
    <t>Cash interest TD &amp; CL</t>
  </si>
  <si>
    <t>Non-Cash Income Adjustements</t>
  </si>
  <si>
    <t>From Balance Sheet</t>
  </si>
  <si>
    <t>Raised Breeding Livestock</t>
  </si>
  <si>
    <t>Total Non-Cash Income Adjustments</t>
  </si>
  <si>
    <t>Retained Earnings</t>
  </si>
  <si>
    <t xml:space="preserve">Alert Level Values </t>
  </si>
  <si>
    <t>Net Farm Income From Operations</t>
  </si>
  <si>
    <t>Net Income After Taxes</t>
  </si>
  <si>
    <t>Owner Withdrawal</t>
  </si>
  <si>
    <t>Total Operating Expenses</t>
  </si>
  <si>
    <t>Interest Expense</t>
  </si>
  <si>
    <t>Depreciation Expense</t>
  </si>
  <si>
    <t>Dry Wheat</t>
  </si>
  <si>
    <t>Dry Corn</t>
  </si>
  <si>
    <t>Irr Corn North</t>
  </si>
  <si>
    <t>Fallow</t>
  </si>
  <si>
    <t>Not Used</t>
  </si>
  <si>
    <r>
      <t>Other Current Liab. (</t>
    </r>
    <r>
      <rPr>
        <b/>
        <sz val="10"/>
        <color indexed="10"/>
        <rFont val="Arial"/>
        <family val="2"/>
      </rPr>
      <t>Not Adj.</t>
    </r>
    <r>
      <rPr>
        <sz val="10"/>
        <color indexed="10"/>
        <rFont val="Arial"/>
        <family val="2"/>
      </rPr>
      <t>)</t>
    </r>
  </si>
  <si>
    <t>or</t>
  </si>
  <si>
    <t>Score</t>
  </si>
  <si>
    <t>different credit-scoring models.</t>
  </si>
  <si>
    <t>Agricultural Finance Review -- volume 54, 1994</t>
  </si>
  <si>
    <t>Result</t>
  </si>
  <si>
    <t>Category</t>
  </si>
  <si>
    <t>Interval</t>
  </si>
  <si>
    <t>Range</t>
  </si>
  <si>
    <t>Weights</t>
  </si>
  <si>
    <t>Equity/Asset Ratio</t>
  </si>
  <si>
    <t xml:space="preserve">Current Ratio   </t>
  </si>
  <si>
    <t>Rate of Return on Equity</t>
  </si>
  <si>
    <t>Term Debt &amp; Capital Lease Coverage</t>
  </si>
  <si>
    <t xml:space="preserve">Net Farm Income From Operations </t>
  </si>
  <si>
    <t>Operating</t>
  </si>
  <si>
    <t>Credit Model</t>
  </si>
  <si>
    <t xml:space="preserve">Term </t>
  </si>
  <si>
    <t>Percent Total Weight from Balance Sheets</t>
  </si>
  <si>
    <t>Percent Total Weight From Income Statement</t>
  </si>
  <si>
    <t>Business Performance</t>
  </si>
  <si>
    <t>Business Position</t>
  </si>
  <si>
    <t xml:space="preserve">   Lease Coverage Ratio</t>
  </si>
  <si>
    <t xml:space="preserve">   Business Equity</t>
  </si>
  <si>
    <t>EWS Farm's Value</t>
  </si>
  <si>
    <t>EWS Farm's Score Value =</t>
  </si>
  <si>
    <t>Scoring</t>
  </si>
  <si>
    <t>Ratio Categories From FFSC</t>
  </si>
  <si>
    <t>A joint experience and statistical approach was utilized to develop credit-scoring models</t>
  </si>
  <si>
    <t>for the Sixth Farm Credit District. Financial ratios from the Farm Financial Standards</t>
  </si>
  <si>
    <t>Task Force were determined to be appropriate explanatory variable measures in</t>
  </si>
  <si>
    <t>the credit-scoring models. Different structural characteristics of farm businesses</t>
  </si>
  <si>
    <t>were determined to influence credit-scoring accuracy. Different types of loans required</t>
  </si>
  <si>
    <r>
      <t xml:space="preserve">A Joint Experience and Statistical Approach to Credit Scoring, </t>
    </r>
    <r>
      <rPr>
        <b/>
        <sz val="10"/>
        <rFont val="Helv"/>
        <family val="0"/>
      </rPr>
      <t>Splett, Barry, Dixon, and Ellineger</t>
    </r>
  </si>
  <si>
    <t>The credit scoring model below based on the following Agricultural Finance Review article.</t>
  </si>
  <si>
    <t>The ranges of values suggested for financial ratio benchmarks are guidelines and will vary by the type of operation and the way they were calculated.</t>
  </si>
  <si>
    <t>Compare to Other Non-farm Investments; look at trends</t>
  </si>
  <si>
    <t xml:space="preserve"> - Principal Pymnts-Current Portions of Term Debt &amp; Cap. Lease</t>
  </si>
  <si>
    <r>
      <t>4</t>
    </r>
    <r>
      <rPr>
        <sz val="10"/>
        <rFont val="Times New Roman"/>
        <family val="1"/>
      </rPr>
      <t xml:space="preserve"> Purdue University; http://fbfm.ace.uiuc.edu/cooperators/PDF/fin%20char/financialbenchmarks.pdf; Modified from David Kohl</t>
    </r>
  </si>
  <si>
    <t>Acceptable</t>
  </si>
  <si>
    <t>Other Assets Especially Mentioned</t>
  </si>
  <si>
    <t>Substandard Viable</t>
  </si>
  <si>
    <t>Substandard Non-Viable</t>
  </si>
  <si>
    <t>Doubtful</t>
  </si>
  <si>
    <t>Loss</t>
  </si>
  <si>
    <t>Original six classification categories from data set</t>
  </si>
  <si>
    <t>Class 2 Performing Loan, Risk Level 2</t>
  </si>
  <si>
    <t>Class 3 Performing Loan, Risk Level 3</t>
  </si>
  <si>
    <t>Class 5 Non-Performing Loan, Risk Level 5</t>
  </si>
  <si>
    <t>Taxes ON</t>
  </si>
  <si>
    <t>Label Menu</t>
  </si>
  <si>
    <t>Display Status</t>
  </si>
  <si>
    <t>Taxes OFF</t>
  </si>
  <si>
    <t>Introduction</t>
  </si>
  <si>
    <t>&lt;&lt; No tax  calculations</t>
  </si>
  <si>
    <t>Graphic Display</t>
  </si>
  <si>
    <t xml:space="preserve"> &lt;&lt; Turn tax calculation on.</t>
  </si>
  <si>
    <t>Financial Statements</t>
  </si>
  <si>
    <t>Display Values</t>
  </si>
  <si>
    <t>Ratios Table</t>
  </si>
  <si>
    <t xml:space="preserve"> = Display Off</t>
  </si>
  <si>
    <t>Ratio Graphic</t>
  </si>
  <si>
    <t xml:space="preserve"> = Display On</t>
  </si>
  <si>
    <t>Description</t>
  </si>
  <si>
    <t>Xcelsius Display Control</t>
  </si>
  <si>
    <t>Table Display</t>
  </si>
  <si>
    <t>Display Status for Graph/Table/Description</t>
  </si>
  <si>
    <t>Credit Scoring</t>
  </si>
  <si>
    <t>Loan</t>
  </si>
  <si>
    <t>Class</t>
  </si>
  <si>
    <t xml:space="preserve">Rate of Return on </t>
  </si>
  <si>
    <t>Business Equity</t>
  </si>
  <si>
    <t xml:space="preserve">Term Debt and Capital </t>
  </si>
  <si>
    <t>Lease Coverage Ratio</t>
  </si>
  <si>
    <t>Operations Ratio</t>
  </si>
  <si>
    <t>Credit</t>
  </si>
  <si>
    <t>Scale</t>
  </si>
  <si>
    <t>Term Loan Credit Scoring Model</t>
  </si>
  <si>
    <t>Operating Loan Credit Scoring Model</t>
  </si>
  <si>
    <t>Term Credit Scoring Model</t>
  </si>
  <si>
    <t>Scoring Model Submenu</t>
  </si>
  <si>
    <t>Display Status Scoring Models</t>
  </si>
  <si>
    <t>Display Status for Scoring Tables</t>
  </si>
  <si>
    <t>Term Loan Credit Model</t>
  </si>
  <si>
    <t>Operating Loan Credit Model</t>
  </si>
  <si>
    <t>Class 4 Performing Loan, Risk Level 4,   High</t>
  </si>
  <si>
    <t>Class 1 Performing Loan, Risk Level 1,  Low</t>
  </si>
  <si>
    <t>Alert Levels for Credit Scoring models-Xcelsius</t>
  </si>
  <si>
    <t xml:space="preserve">Operating Loan Credit Score = </t>
  </si>
  <si>
    <t xml:space="preserve">Term Loan Credit Score = </t>
  </si>
  <si>
    <t>Term</t>
  </si>
  <si>
    <t>Model Weights by Ratio Used</t>
  </si>
  <si>
    <t>Activate Model Weights by Ratio Used Table</t>
  </si>
  <si>
    <t>Display Status for Changing model weights by ratio used</t>
  </si>
  <si>
    <t>Toggle Model Weight Table On/Off</t>
  </si>
  <si>
    <t xml:space="preserve">Net Business Income From </t>
  </si>
  <si>
    <t xml:space="preserve">   Term Debt and Capital </t>
  </si>
  <si>
    <t xml:space="preserve">   Rate of Return on </t>
  </si>
  <si>
    <t xml:space="preserve">http://www.montana.edu/softwaredownloads/ </t>
  </si>
  <si>
    <t xml:space="preserve">http://risknavigatorsrm.com/ </t>
  </si>
  <si>
    <t xml:space="preserve"> November 2008</t>
  </si>
  <si>
    <t>RDFinancial, a Financial Analysis Risk Management Tool</t>
  </si>
  <si>
    <t>Alert Levels for selected items</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</si>
</sst>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General_)"/>
    <numFmt numFmtId="166" formatCode="0.00_)"/>
    <numFmt numFmtId="167" formatCode="0.0000_)"/>
    <numFmt numFmtId="168" formatCode="0_);\(0\)"/>
    <numFmt numFmtId="169" formatCode="&quot;$&quot;#,##0.00"/>
    <numFmt numFmtId="170" formatCode="&quot;$&quot;#,##0"/>
    <numFmt numFmtId="171" formatCode="0.0%"/>
    <numFmt numFmtId="172" formatCode="#,##0.0000000000_);\(#,##0.0000000000\)"/>
    <numFmt numFmtId="173" formatCode="&quot;$&quot;#,##0.000"/>
    <numFmt numFmtId="174" formatCode="&quot;$&quot;#,##0.0"/>
    <numFmt numFmtId="175" formatCode="&quot;$&quot;#,##0.0_);[Red]\(&quot;$&quot;#,##0.0\)"/>
    <numFmt numFmtId="176" formatCode="#,##0.0"/>
    <numFmt numFmtId="177" formatCode="0.000"/>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000"/>
    <numFmt numFmtId="184" formatCode="0.000_)"/>
    <numFmt numFmtId="185" formatCode="&quot;$&quot;#,##0.0_);\(&quot;$&quot;#,##0.0\)"/>
    <numFmt numFmtId="186" formatCode="0.00000000"/>
    <numFmt numFmtId="187" formatCode="0.0000000"/>
    <numFmt numFmtId="188" formatCode="0.000000"/>
    <numFmt numFmtId="189" formatCode="0.00000"/>
    <numFmt numFmtId="190" formatCode="&quot;$&quot;#,##0.00000_);\(&quot;$&quot;#,##0.00000\)"/>
  </numFmts>
  <fonts count="96">
    <font>
      <sz val="10"/>
      <name val="Helv"/>
      <family val="0"/>
    </font>
    <font>
      <b/>
      <sz val="10"/>
      <name val="Times New Roman"/>
      <family val="0"/>
    </font>
    <font>
      <i/>
      <sz val="10"/>
      <name val="Times New Roman"/>
      <family val="0"/>
    </font>
    <font>
      <b/>
      <i/>
      <sz val="10"/>
      <name val="Times New Roman"/>
      <family val="0"/>
    </font>
    <font>
      <sz val="10"/>
      <name val="Times New Roman"/>
      <family val="1"/>
    </font>
    <font>
      <sz val="10"/>
      <name val="TimesNewRomanPS"/>
      <family val="0"/>
    </font>
    <font>
      <b/>
      <sz val="10"/>
      <color indexed="12"/>
      <name val="TimesNewRomanPS"/>
      <family val="0"/>
    </font>
    <font>
      <b/>
      <i/>
      <sz val="10"/>
      <name val="TimesNewRomanPS"/>
      <family val="0"/>
    </font>
    <font>
      <b/>
      <i/>
      <sz val="10"/>
      <name val="Helv"/>
      <family val="0"/>
    </font>
    <font>
      <b/>
      <sz val="10"/>
      <name val="Helv"/>
      <family val="0"/>
    </font>
    <font>
      <b/>
      <sz val="10"/>
      <name val="TimesNewRomanPS"/>
      <family val="0"/>
    </font>
    <font>
      <b/>
      <sz val="12"/>
      <name val="Helv"/>
      <family val="0"/>
    </font>
    <font>
      <b/>
      <sz val="14"/>
      <name val="Helv"/>
      <family val="0"/>
    </font>
    <font>
      <b/>
      <sz val="16"/>
      <name val="Helv"/>
      <family val="0"/>
    </font>
    <font>
      <b/>
      <sz val="10"/>
      <color indexed="12"/>
      <name val="Times New Roman"/>
      <family val="1"/>
    </font>
    <font>
      <b/>
      <sz val="10"/>
      <color indexed="12"/>
      <name val="Helv"/>
      <family val="2"/>
    </font>
    <font>
      <sz val="10"/>
      <color indexed="12"/>
      <name val="Times New Roman"/>
      <family val="1"/>
    </font>
    <font>
      <b/>
      <sz val="14"/>
      <name val="Times New Roman"/>
      <family val="1"/>
    </font>
    <font>
      <b/>
      <sz val="10"/>
      <name val="Tahoma"/>
      <family val="2"/>
    </font>
    <font>
      <b/>
      <sz val="10"/>
      <color indexed="8"/>
      <name val="Tahoma"/>
      <family val="2"/>
    </font>
    <font>
      <b/>
      <sz val="10"/>
      <color indexed="8"/>
      <name val="Times New Roman"/>
      <family val="1"/>
    </font>
    <font>
      <b/>
      <sz val="10"/>
      <color indexed="10"/>
      <name val="Times New Roman"/>
      <family val="1"/>
    </font>
    <font>
      <sz val="10"/>
      <color indexed="10"/>
      <name val="Helv"/>
      <family val="0"/>
    </font>
    <font>
      <b/>
      <sz val="10"/>
      <color indexed="10"/>
      <name val="Helv"/>
      <family val="0"/>
    </font>
    <font>
      <u val="single"/>
      <sz val="7.5"/>
      <color indexed="12"/>
      <name val="Helv"/>
      <family val="0"/>
    </font>
    <font>
      <u val="single"/>
      <sz val="7.5"/>
      <color indexed="36"/>
      <name val="Helv"/>
      <family val="0"/>
    </font>
    <font>
      <b/>
      <sz val="9"/>
      <color indexed="10"/>
      <name val="Times New Roman"/>
      <family val="1"/>
    </font>
    <font>
      <sz val="10"/>
      <color indexed="12"/>
      <name val="Helv"/>
      <family val="0"/>
    </font>
    <font>
      <b/>
      <sz val="11"/>
      <name val="Times New Roman"/>
      <family val="1"/>
    </font>
    <font>
      <b/>
      <sz val="10"/>
      <color indexed="10"/>
      <name val="Tahoma"/>
      <family val="2"/>
    </font>
    <font>
      <b/>
      <sz val="9"/>
      <name val="Tahoma"/>
      <family val="2"/>
    </font>
    <font>
      <b/>
      <sz val="9"/>
      <color indexed="10"/>
      <name val="Tahoma"/>
      <family val="2"/>
    </font>
    <font>
      <sz val="9"/>
      <name val="Tahoma"/>
      <family val="2"/>
    </font>
    <font>
      <sz val="11"/>
      <name val="Times New Roman"/>
      <family val="1"/>
    </font>
    <font>
      <b/>
      <sz val="11"/>
      <color indexed="12"/>
      <name val="Times New Roman"/>
      <family val="1"/>
    </font>
    <font>
      <b/>
      <sz val="12"/>
      <name val="Times New Roman"/>
      <family val="1"/>
    </font>
    <font>
      <sz val="12"/>
      <name val="Times New Roman"/>
      <family val="1"/>
    </font>
    <font>
      <b/>
      <sz val="10"/>
      <color indexed="16"/>
      <name val="Helv"/>
      <family val="0"/>
    </font>
    <font>
      <b/>
      <sz val="10"/>
      <color indexed="56"/>
      <name val="Helv"/>
      <family val="0"/>
    </font>
    <font>
      <b/>
      <sz val="12"/>
      <color indexed="10"/>
      <name val="Helv"/>
      <family val="0"/>
    </font>
    <font>
      <b/>
      <sz val="10"/>
      <color indexed="17"/>
      <name val="Times New Roman"/>
      <family val="1"/>
    </font>
    <font>
      <b/>
      <sz val="11"/>
      <color indexed="10"/>
      <name val="Times New Roman"/>
      <family val="1"/>
    </font>
    <font>
      <sz val="10"/>
      <name val="Symbol"/>
      <family val="1"/>
    </font>
    <font>
      <sz val="12"/>
      <name val="Helv"/>
      <family val="0"/>
    </font>
    <font>
      <b/>
      <sz val="12"/>
      <color indexed="16"/>
      <name val="Helv"/>
      <family val="0"/>
    </font>
    <font>
      <b/>
      <sz val="12"/>
      <color indexed="12"/>
      <name val="Helv"/>
      <family val="0"/>
    </font>
    <font>
      <sz val="10"/>
      <name val="Tahoma"/>
      <family val="2"/>
    </font>
    <font>
      <sz val="8"/>
      <name val="Helv"/>
      <family val="0"/>
    </font>
    <font>
      <sz val="10"/>
      <color indexed="10"/>
      <name val="Tahoma"/>
      <family val="2"/>
    </font>
    <font>
      <sz val="8"/>
      <name val="Times New Roman"/>
      <family val="1"/>
    </font>
    <font>
      <b/>
      <u val="single"/>
      <sz val="10"/>
      <name val="Times New Roman"/>
      <family val="1"/>
    </font>
    <font>
      <b/>
      <u val="single"/>
      <sz val="10"/>
      <name val="Tahoma"/>
      <family val="2"/>
    </font>
    <font>
      <sz val="12"/>
      <name val="Arial"/>
      <family val="2"/>
    </font>
    <font>
      <sz val="11"/>
      <name val="Tahoma"/>
      <family val="2"/>
    </font>
    <font>
      <vertAlign val="superscript"/>
      <sz val="11"/>
      <name val="Times New Roman"/>
      <family val="1"/>
    </font>
    <font>
      <vertAlign val="superscript"/>
      <sz val="12"/>
      <name val="Times New Roman"/>
      <family val="1"/>
    </font>
    <font>
      <sz val="12"/>
      <color indexed="8"/>
      <name val="Times New Roman"/>
      <family val="1"/>
    </font>
    <font>
      <vertAlign val="superscript"/>
      <sz val="10"/>
      <name val="Times New Roman"/>
      <family val="1"/>
    </font>
    <font>
      <b/>
      <sz val="10"/>
      <name val="Arial"/>
      <family val="2"/>
    </font>
    <font>
      <sz val="10"/>
      <name val="Arial"/>
      <family val="2"/>
    </font>
    <font>
      <b/>
      <sz val="10"/>
      <color indexed="12"/>
      <name val="Arial"/>
      <family val="2"/>
    </font>
    <font>
      <sz val="10"/>
      <color indexed="10"/>
      <name val="Arial"/>
      <family val="2"/>
    </font>
    <font>
      <b/>
      <sz val="10"/>
      <color indexed="10"/>
      <name val="Arial"/>
      <family val="2"/>
    </font>
    <font>
      <sz val="10"/>
      <color indexed="12"/>
      <name val="Arial"/>
      <family val="2"/>
    </font>
    <font>
      <b/>
      <i/>
      <sz val="10"/>
      <name val="Arial"/>
      <family val="2"/>
    </font>
    <font>
      <u val="single"/>
      <sz val="12"/>
      <color indexed="12"/>
      <name val="Helv"/>
      <family val="0"/>
    </font>
    <font>
      <b/>
      <sz val="18"/>
      <color indexed="62"/>
      <name val="Cambria"/>
      <family val="2"/>
    </font>
    <font>
      <b/>
      <sz val="15"/>
      <color indexed="62"/>
      <name val="Times New Roman"/>
      <family val="2"/>
    </font>
    <font>
      <b/>
      <sz val="13"/>
      <color indexed="62"/>
      <name val="Times New Roman"/>
      <family val="2"/>
    </font>
    <font>
      <b/>
      <sz val="11"/>
      <color indexed="62"/>
      <name val="Times New Roman"/>
      <family val="2"/>
    </font>
    <font>
      <sz val="12"/>
      <color indexed="17"/>
      <name val="Times New Roman"/>
      <family val="2"/>
    </font>
    <font>
      <sz val="12"/>
      <color indexed="20"/>
      <name val="Times New Roman"/>
      <family val="2"/>
    </font>
    <font>
      <sz val="12"/>
      <color indexed="60"/>
      <name val="Times New Roman"/>
      <family val="2"/>
    </font>
    <font>
      <sz val="12"/>
      <color indexed="62"/>
      <name val="Times New Roman"/>
      <family val="2"/>
    </font>
    <font>
      <b/>
      <sz val="12"/>
      <color indexed="63"/>
      <name val="Times New Roman"/>
      <family val="2"/>
    </font>
    <font>
      <b/>
      <sz val="12"/>
      <color indexed="52"/>
      <name val="Times New Roman"/>
      <family val="2"/>
    </font>
    <font>
      <sz val="12"/>
      <color indexed="52"/>
      <name val="Times New Roman"/>
      <family val="2"/>
    </font>
    <font>
      <b/>
      <sz val="12"/>
      <color indexed="9"/>
      <name val="Times New Roman"/>
      <family val="2"/>
    </font>
    <font>
      <sz val="12"/>
      <color indexed="10"/>
      <name val="Times New Roman"/>
      <family val="2"/>
    </font>
    <font>
      <i/>
      <sz val="12"/>
      <color indexed="23"/>
      <name val="Times New Roman"/>
      <family val="2"/>
    </font>
    <font>
      <sz val="12"/>
      <color indexed="9"/>
      <name val="Times New Roman"/>
      <family val="2"/>
    </font>
    <font>
      <sz val="12"/>
      <color indexed="63"/>
      <name val="Times New Roman"/>
      <family val="2"/>
    </font>
    <font>
      <b/>
      <sz val="12"/>
      <color indexed="10"/>
      <name val="Times New Roman"/>
      <family val="1"/>
    </font>
    <font>
      <sz val="12"/>
      <color indexed="12"/>
      <name val="Times New Roman"/>
      <family val="1"/>
    </font>
    <font>
      <b/>
      <sz val="11"/>
      <color indexed="10"/>
      <name val="Helv"/>
      <family val="0"/>
    </font>
    <font>
      <sz val="11"/>
      <color indexed="63"/>
      <name val="Helv"/>
      <family val="0"/>
    </font>
    <font>
      <sz val="11"/>
      <color indexed="10"/>
      <name val="Helv"/>
      <family val="0"/>
    </font>
    <font>
      <sz val="10"/>
      <color indexed="63"/>
      <name val="Helv"/>
      <family val="0"/>
    </font>
    <font>
      <b/>
      <sz val="10"/>
      <color indexed="63"/>
      <name val="Helv"/>
      <family val="0"/>
    </font>
    <font>
      <b/>
      <sz val="18"/>
      <color indexed="16"/>
      <name val="Helv"/>
      <family val="0"/>
    </font>
    <font>
      <sz val="8"/>
      <name val="Arial"/>
      <family val="0"/>
    </font>
    <font>
      <sz val="11"/>
      <name val="Arial"/>
      <family val="0"/>
    </font>
    <font>
      <sz val="10"/>
      <color indexed="16"/>
      <name val="Arial"/>
      <family val="0"/>
    </font>
    <font>
      <b/>
      <sz val="14"/>
      <color indexed="16"/>
      <name val="Helv"/>
      <family val="0"/>
    </font>
    <font>
      <sz val="10"/>
      <color indexed="16"/>
      <name val="Helv"/>
      <family val="0"/>
    </font>
    <font>
      <b/>
      <sz val="8"/>
      <name val="Helv"/>
      <family val="2"/>
    </font>
  </fonts>
  <fills count="21">
    <fill>
      <patternFill/>
    </fill>
    <fill>
      <patternFill patternType="gray125"/>
    </fill>
    <fill>
      <patternFill patternType="solid">
        <fgColor indexed="30"/>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31"/>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49"/>
        <bgColor indexed="64"/>
      </patternFill>
    </fill>
    <fill>
      <patternFill patternType="solid">
        <fgColor indexed="53"/>
        <bgColor indexed="64"/>
      </patternFill>
    </fill>
    <fill>
      <patternFill patternType="solid">
        <fgColor indexed="8"/>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
      <patternFill patternType="solid">
        <fgColor indexed="16"/>
        <bgColor indexed="64"/>
      </patternFill>
    </fill>
    <fill>
      <patternFill patternType="solid">
        <fgColor indexed="44"/>
        <bgColor indexed="64"/>
      </patternFill>
    </fill>
    <fill>
      <patternFill patternType="solid">
        <fgColor indexed="17"/>
        <bgColor indexed="64"/>
      </patternFill>
    </fill>
    <fill>
      <patternFill patternType="solid">
        <fgColor indexed="38"/>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31"/>
      </bottom>
    </border>
    <border>
      <left>
        <color indexed="63"/>
      </left>
      <right>
        <color indexed="63"/>
      </right>
      <top>
        <color indexed="63"/>
      </top>
      <bottom style="medium">
        <color indexed="31"/>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31"/>
      </top>
      <bottom style="double">
        <color indexed="31"/>
      </bottom>
    </border>
    <border>
      <left>
        <color indexed="63"/>
      </left>
      <right>
        <color indexed="63"/>
      </right>
      <top style="thin">
        <color indexed="8"/>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thin"/>
      <right style="thin"/>
      <top style="thin"/>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color indexed="63"/>
      </top>
      <bottom style="medium"/>
    </border>
    <border>
      <left>
        <color indexed="63"/>
      </left>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style="hair">
        <color indexed="12"/>
      </right>
      <top style="thin"/>
      <bottom style="thin"/>
    </border>
    <border>
      <left style="hair">
        <color indexed="12"/>
      </left>
      <right style="hair">
        <color indexed="12"/>
      </right>
      <top style="thin"/>
      <bottom style="thin"/>
    </border>
    <border>
      <left style="hair">
        <color indexed="12"/>
      </left>
      <right style="thin"/>
      <top style="thin"/>
      <bottom style="thin"/>
    </border>
    <border>
      <left style="thin"/>
      <right style="hair">
        <color indexed="12"/>
      </right>
      <top style="thin"/>
      <bottom style="hair">
        <color indexed="12"/>
      </bottom>
    </border>
    <border>
      <left style="hair">
        <color indexed="12"/>
      </left>
      <right style="hair">
        <color indexed="12"/>
      </right>
      <top style="thin"/>
      <bottom style="hair">
        <color indexed="12"/>
      </bottom>
    </border>
    <border>
      <left style="hair">
        <color indexed="12"/>
      </left>
      <right style="thin"/>
      <top style="thin"/>
      <bottom style="hair">
        <color indexed="12"/>
      </bottom>
    </border>
    <border>
      <left style="thin"/>
      <right style="hair">
        <color indexed="12"/>
      </right>
      <top style="hair">
        <color indexed="12"/>
      </top>
      <bottom style="hair">
        <color indexed="12"/>
      </bottom>
    </border>
    <border>
      <left style="hair">
        <color indexed="12"/>
      </left>
      <right style="hair">
        <color indexed="12"/>
      </right>
      <top style="hair">
        <color indexed="12"/>
      </top>
      <bottom style="hair">
        <color indexed="12"/>
      </bottom>
    </border>
    <border>
      <left style="hair">
        <color indexed="12"/>
      </left>
      <right style="thin"/>
      <top style="hair">
        <color indexed="12"/>
      </top>
      <bottom style="hair">
        <color indexed="12"/>
      </bottom>
    </border>
    <border>
      <left style="thin"/>
      <right style="hair">
        <color indexed="12"/>
      </right>
      <top style="hair">
        <color indexed="12"/>
      </top>
      <bottom style="thin"/>
    </border>
    <border>
      <left style="hair">
        <color indexed="12"/>
      </left>
      <right style="hair">
        <color indexed="12"/>
      </right>
      <top style="hair">
        <color indexed="12"/>
      </top>
      <bottom style="thin"/>
    </border>
    <border>
      <left style="hair">
        <color indexed="12"/>
      </left>
      <right style="thin"/>
      <top style="hair">
        <color indexed="12"/>
      </top>
      <bottom style="thin"/>
    </border>
    <border>
      <left style="medium"/>
      <right style="medium"/>
      <top style="medium"/>
      <bottom style="mediu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bottom style="thin"/>
    </border>
    <border>
      <left>
        <color indexed="63"/>
      </left>
      <right style="thin"/>
      <top style="thin"/>
      <bottom style="thin"/>
    </border>
    <border>
      <left style="medium">
        <color indexed="8"/>
      </left>
      <right>
        <color indexed="63"/>
      </right>
      <top>
        <color indexed="63"/>
      </top>
      <bottom>
        <color indexed="63"/>
      </bottom>
    </border>
    <border>
      <left style="medium">
        <color indexed="8"/>
      </left>
      <right>
        <color indexed="63"/>
      </right>
      <top>
        <color indexed="63"/>
      </top>
      <bottom style="thin"/>
    </border>
    <border>
      <left style="thin">
        <color indexed="8"/>
      </left>
      <right>
        <color indexed="63"/>
      </right>
      <top style="thin"/>
      <bottom style="thin">
        <color indexed="8"/>
      </bottom>
    </border>
    <border>
      <left>
        <color indexed="63"/>
      </left>
      <right style="thin">
        <color indexed="8"/>
      </right>
      <top style="thin"/>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2"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2" borderId="0" applyNumberFormat="0" applyBorder="0" applyAlignment="0" applyProtection="0"/>
    <xf numFmtId="0" fontId="81" fillId="5"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5"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71" fillId="13" borderId="0" applyNumberFormat="0" applyBorder="0" applyAlignment="0" applyProtection="0"/>
    <xf numFmtId="0" fontId="75" fillId="2" borderId="1" applyNumberFormat="0" applyAlignment="0" applyProtection="0"/>
    <xf numFmtId="0" fontId="77" fillId="14"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79" fillId="0" borderId="0" applyNumberFormat="0" applyFill="0" applyBorder="0" applyAlignment="0" applyProtection="0"/>
    <xf numFmtId="0" fontId="25" fillId="0" borderId="0" applyNumberFormat="0" applyFill="0" applyBorder="0" applyAlignment="0" applyProtection="0"/>
    <xf numFmtId="0" fontId="70" fillId="15" borderId="0" applyNumberFormat="0" applyBorder="0" applyAlignment="0" applyProtection="0"/>
    <xf numFmtId="0" fontId="67" fillId="0" borderId="3" applyNumberFormat="0" applyFill="0" applyAlignment="0" applyProtection="0"/>
    <xf numFmtId="0" fontId="68" fillId="0" borderId="3" applyNumberFormat="0" applyFill="0" applyAlignment="0" applyProtection="0"/>
    <xf numFmtId="0" fontId="69" fillId="0" borderId="4" applyNumberFormat="0" applyFill="0" applyAlignment="0" applyProtection="0"/>
    <xf numFmtId="0" fontId="69" fillId="0" borderId="0" applyNumberFormat="0" applyFill="0" applyBorder="0" applyAlignment="0" applyProtection="0"/>
    <xf numFmtId="0" fontId="24" fillId="0" borderId="0" applyNumberFormat="0" applyFill="0" applyBorder="0" applyAlignment="0" applyProtection="0"/>
    <xf numFmtId="0" fontId="73" fillId="5" borderId="1" applyNumberFormat="0" applyAlignment="0" applyProtection="0"/>
    <xf numFmtId="0" fontId="76" fillId="0" borderId="5" applyNumberFormat="0" applyFill="0" applyAlignment="0" applyProtection="0"/>
    <xf numFmtId="0" fontId="72" fillId="5" borderId="0" applyNumberFormat="0" applyBorder="0" applyAlignment="0" applyProtection="0"/>
    <xf numFmtId="0" fontId="36" fillId="0" borderId="0">
      <alignment/>
      <protection/>
    </xf>
    <xf numFmtId="0" fontId="36" fillId="0" borderId="0">
      <alignment/>
      <protection/>
    </xf>
    <xf numFmtId="0" fontId="59" fillId="0" borderId="0">
      <alignment/>
      <protection/>
    </xf>
    <xf numFmtId="0" fontId="36" fillId="0" borderId="0">
      <alignment/>
      <protection/>
    </xf>
    <xf numFmtId="0" fontId="0" fillId="3" borderId="6" applyNumberFormat="0" applyFont="0" applyAlignment="0" applyProtection="0"/>
    <xf numFmtId="0" fontId="74" fillId="2" borderId="7" applyNumberFormat="0" applyAlignment="0" applyProtection="0"/>
    <xf numFmtId="9" fontId="4" fillId="0" borderId="0" applyFont="0" applyFill="0" applyBorder="0" applyAlignment="0" applyProtection="0"/>
    <xf numFmtId="0" fontId="66" fillId="0" borderId="0" applyNumberFormat="0" applyFill="0" applyBorder="0" applyAlignment="0" applyProtection="0"/>
    <xf numFmtId="0" fontId="74" fillId="0" borderId="8" applyNumberFormat="0" applyFill="0" applyAlignment="0" applyProtection="0"/>
    <xf numFmtId="0" fontId="78" fillId="0" borderId="0" applyNumberFormat="0" applyFill="0" applyBorder="0" applyAlignment="0" applyProtection="0"/>
  </cellStyleXfs>
  <cellXfs count="625">
    <xf numFmtId="0" fontId="0" fillId="0" borderId="0" xfId="0" applyAlignment="1">
      <alignment/>
    </xf>
    <xf numFmtId="165" fontId="0" fillId="0" borderId="0" xfId="0" applyNumberFormat="1" applyAlignment="1" applyProtection="1">
      <alignment/>
      <protection/>
    </xf>
    <xf numFmtId="5" fontId="0" fillId="0" borderId="0" xfId="0" applyNumberFormat="1" applyAlignment="1" applyProtection="1">
      <alignment/>
      <protection/>
    </xf>
    <xf numFmtId="164" fontId="5" fillId="0" borderId="0" xfId="0" applyNumberFormat="1" applyFont="1" applyAlignment="1" applyProtection="1">
      <alignment horizontal="left"/>
      <protection/>
    </xf>
    <xf numFmtId="165" fontId="5" fillId="0" borderId="0" xfId="0" applyNumberFormat="1" applyFont="1" applyAlignment="1" applyProtection="1">
      <alignment/>
      <protection/>
    </xf>
    <xf numFmtId="165" fontId="6" fillId="0" borderId="0" xfId="0" applyNumberFormat="1" applyFont="1" applyAlignment="1" applyProtection="1">
      <alignment horizontal="left"/>
      <protection/>
    </xf>
    <xf numFmtId="165" fontId="5" fillId="0" borderId="0" xfId="0" applyNumberFormat="1" applyFont="1" applyAlignment="1" applyProtection="1">
      <alignment horizontal="left"/>
      <protection/>
    </xf>
    <xf numFmtId="0" fontId="5" fillId="0" borderId="0" xfId="0" applyFont="1" applyAlignment="1">
      <alignment/>
    </xf>
    <xf numFmtId="164" fontId="5" fillId="0" borderId="0" xfId="0" applyNumberFormat="1" applyFont="1" applyAlignment="1" applyProtection="1">
      <alignment/>
      <protection/>
    </xf>
    <xf numFmtId="164" fontId="7" fillId="0" borderId="0" xfId="0" applyNumberFormat="1" applyFont="1" applyAlignment="1" applyProtection="1">
      <alignment horizontal="left"/>
      <protection/>
    </xf>
    <xf numFmtId="165" fontId="7" fillId="0" borderId="0" xfId="0" applyNumberFormat="1" applyFont="1" applyAlignment="1" applyProtection="1">
      <alignment horizontal="left"/>
      <protection/>
    </xf>
    <xf numFmtId="165" fontId="9" fillId="0" borderId="0" xfId="0" applyNumberFormat="1" applyFont="1" applyAlignment="1" applyProtection="1">
      <alignment/>
      <protection/>
    </xf>
    <xf numFmtId="165" fontId="5" fillId="0" borderId="9" xfId="0" applyNumberFormat="1" applyFont="1" applyBorder="1" applyAlignment="1" applyProtection="1">
      <alignment/>
      <protection/>
    </xf>
    <xf numFmtId="165" fontId="11" fillId="0" borderId="0" xfId="0" applyNumberFormat="1" applyFont="1" applyAlignment="1" applyProtection="1">
      <alignment/>
      <protection/>
    </xf>
    <xf numFmtId="165" fontId="8" fillId="0" borderId="0" xfId="0" applyNumberFormat="1" applyFont="1" applyAlignment="1" applyProtection="1">
      <alignment/>
      <protection/>
    </xf>
    <xf numFmtId="165" fontId="12" fillId="0" borderId="0" xfId="0" applyNumberFormat="1" applyFont="1" applyAlignment="1" applyProtection="1">
      <alignment horizontal="left"/>
      <protection/>
    </xf>
    <xf numFmtId="165" fontId="12" fillId="16" borderId="0" xfId="0" applyNumberFormat="1" applyFont="1" applyFill="1" applyAlignment="1" applyProtection="1">
      <alignment horizontal="left"/>
      <protection/>
    </xf>
    <xf numFmtId="165" fontId="11" fillId="0" borderId="0" xfId="0" applyNumberFormat="1" applyFont="1" applyAlignment="1" applyProtection="1">
      <alignment horizontal="left"/>
      <protection/>
    </xf>
    <xf numFmtId="166" fontId="9" fillId="0" borderId="0" xfId="0" applyNumberFormat="1" applyFont="1" applyAlignment="1" applyProtection="1">
      <alignment/>
      <protection/>
    </xf>
    <xf numFmtId="5" fontId="9" fillId="0" borderId="0" xfId="0" applyNumberFormat="1" applyFont="1" applyAlignment="1" applyProtection="1">
      <alignment/>
      <protection/>
    </xf>
    <xf numFmtId="10" fontId="9" fillId="0" borderId="0" xfId="0" applyNumberFormat="1" applyFont="1" applyAlignment="1" applyProtection="1">
      <alignment/>
      <protection/>
    </xf>
    <xf numFmtId="165" fontId="13" fillId="16" borderId="0" xfId="0" applyNumberFormat="1" applyFont="1" applyFill="1" applyAlignment="1" applyProtection="1">
      <alignment horizontal="left"/>
      <protection/>
    </xf>
    <xf numFmtId="7" fontId="9" fillId="0" borderId="0" xfId="0" applyNumberFormat="1" applyFont="1" applyAlignment="1" applyProtection="1">
      <alignment/>
      <protection/>
    </xf>
    <xf numFmtId="37" fontId="9" fillId="0" borderId="0" xfId="0" applyNumberFormat="1" applyFont="1" applyAlignment="1" applyProtection="1">
      <alignment/>
      <protection/>
    </xf>
    <xf numFmtId="167" fontId="9" fillId="0" borderId="0" xfId="0" applyNumberFormat="1" applyFont="1" applyAlignment="1" applyProtection="1">
      <alignment/>
      <protection/>
    </xf>
    <xf numFmtId="165" fontId="1" fillId="4" borderId="0" xfId="0" applyNumberFormat="1" applyFont="1" applyFill="1" applyBorder="1" applyAlignment="1" applyProtection="1">
      <alignment horizontal="left"/>
      <protection/>
    </xf>
    <xf numFmtId="165" fontId="1" fillId="4" borderId="0" xfId="0" applyNumberFormat="1" applyFont="1" applyFill="1" applyBorder="1" applyAlignment="1" applyProtection="1">
      <alignment/>
      <protection/>
    </xf>
    <xf numFmtId="37" fontId="1" fillId="4" borderId="0" xfId="0" applyNumberFormat="1" applyFont="1" applyFill="1" applyBorder="1" applyAlignment="1" applyProtection="1">
      <alignment/>
      <protection/>
    </xf>
    <xf numFmtId="165" fontId="5" fillId="0" borderId="0" xfId="0" applyNumberFormat="1" applyFont="1" applyBorder="1" applyAlignment="1" applyProtection="1">
      <alignment horizontal="left"/>
      <protection/>
    </xf>
    <xf numFmtId="165" fontId="5" fillId="0" borderId="0" xfId="0" applyNumberFormat="1" applyFont="1" applyBorder="1" applyAlignment="1" applyProtection="1">
      <alignment/>
      <protection/>
    </xf>
    <xf numFmtId="37" fontId="14" fillId="0" borderId="10" xfId="0" applyNumberFormat="1" applyFont="1" applyBorder="1" applyAlignment="1" applyProtection="1">
      <alignment/>
      <protection locked="0"/>
    </xf>
    <xf numFmtId="37" fontId="14" fillId="0" borderId="11" xfId="0" applyNumberFormat="1" applyFont="1" applyBorder="1" applyAlignment="1" applyProtection="1">
      <alignment/>
      <protection locked="0"/>
    </xf>
    <xf numFmtId="37" fontId="14" fillId="0" borderId="12" xfId="0" applyNumberFormat="1" applyFont="1" applyBorder="1" applyAlignment="1" applyProtection="1">
      <alignment/>
      <protection locked="0"/>
    </xf>
    <xf numFmtId="0" fontId="9" fillId="0" borderId="0" xfId="0" applyFont="1" applyAlignment="1">
      <alignment/>
    </xf>
    <xf numFmtId="0" fontId="10" fillId="0" borderId="0" xfId="0" applyFont="1" applyAlignment="1">
      <alignment/>
    </xf>
    <xf numFmtId="0" fontId="10" fillId="0" borderId="0" xfId="0" applyFont="1" applyAlignment="1">
      <alignment horizontal="left"/>
    </xf>
    <xf numFmtId="165" fontId="9" fillId="16" borderId="0" xfId="0" applyNumberFormat="1" applyFont="1" applyFill="1" applyAlignment="1" applyProtection="1">
      <alignment/>
      <protection/>
    </xf>
    <xf numFmtId="37" fontId="10" fillId="0" borderId="0" xfId="0" applyNumberFormat="1" applyFont="1" applyAlignment="1" applyProtection="1">
      <alignment/>
      <protection/>
    </xf>
    <xf numFmtId="5" fontId="10" fillId="0" borderId="0" xfId="0" applyNumberFormat="1" applyFont="1" applyAlignment="1" applyProtection="1">
      <alignment/>
      <protection/>
    </xf>
    <xf numFmtId="165" fontId="10" fillId="16" borderId="0" xfId="0" applyNumberFormat="1" applyFont="1" applyFill="1" applyAlignment="1" applyProtection="1">
      <alignment/>
      <protection/>
    </xf>
    <xf numFmtId="165" fontId="10" fillId="0" borderId="0" xfId="0" applyNumberFormat="1" applyFont="1" applyAlignment="1" applyProtection="1">
      <alignment horizontal="left"/>
      <protection/>
    </xf>
    <xf numFmtId="0" fontId="0" fillId="0" borderId="0" xfId="0" applyAlignment="1" applyProtection="1">
      <alignment horizontal="left"/>
      <protection/>
    </xf>
    <xf numFmtId="0" fontId="0" fillId="17" borderId="0" xfId="0" applyFill="1" applyAlignment="1">
      <alignment/>
    </xf>
    <xf numFmtId="0" fontId="16" fillId="0" borderId="13" xfId="0" applyFont="1" applyBorder="1" applyAlignment="1" applyProtection="1">
      <alignment horizontal="center"/>
      <protection locked="0"/>
    </xf>
    <xf numFmtId="0" fontId="16" fillId="0" borderId="14" xfId="0" applyFont="1" applyBorder="1" applyAlignment="1" applyProtection="1">
      <alignment horizontal="center"/>
      <protection locked="0"/>
    </xf>
    <xf numFmtId="169" fontId="16" fillId="0" borderId="14" xfId="0" applyNumberFormat="1" applyFont="1" applyBorder="1" applyAlignment="1" applyProtection="1">
      <alignment horizontal="center"/>
      <protection locked="0"/>
    </xf>
    <xf numFmtId="9" fontId="16" fillId="0" borderId="15" xfId="0" applyNumberFormat="1" applyFont="1" applyBorder="1" applyAlignment="1" applyProtection="1">
      <alignment horizontal="center"/>
      <protection locked="0"/>
    </xf>
    <xf numFmtId="3" fontId="16" fillId="0" borderId="14" xfId="0" applyNumberFormat="1" applyFont="1" applyBorder="1" applyAlignment="1" applyProtection="1">
      <alignment horizontal="center"/>
      <protection locked="0"/>
    </xf>
    <xf numFmtId="1" fontId="16" fillId="0" borderId="14" xfId="0" applyNumberFormat="1" applyFont="1" applyBorder="1" applyAlignment="1" applyProtection="1">
      <alignment horizontal="center"/>
      <protection locked="0"/>
    </xf>
    <xf numFmtId="170" fontId="16" fillId="0" borderId="14" xfId="0" applyNumberFormat="1" applyFont="1" applyBorder="1" applyAlignment="1" applyProtection="1">
      <alignment horizontal="center"/>
      <protection locked="0"/>
    </xf>
    <xf numFmtId="169" fontId="16" fillId="0" borderId="15" xfId="0" applyNumberFormat="1" applyFont="1" applyBorder="1" applyAlignment="1" applyProtection="1">
      <alignment horizontal="center"/>
      <protection locked="0"/>
    </xf>
    <xf numFmtId="10" fontId="16" fillId="0" borderId="14" xfId="0" applyNumberFormat="1" applyFont="1" applyBorder="1" applyAlignment="1" applyProtection="1">
      <alignment/>
      <protection locked="0"/>
    </xf>
    <xf numFmtId="9" fontId="16" fillId="0" borderId="14" xfId="0" applyNumberFormat="1" applyFont="1" applyBorder="1" applyAlignment="1" applyProtection="1">
      <alignment horizontal="center"/>
      <protection locked="0"/>
    </xf>
    <xf numFmtId="0" fontId="0" fillId="0" borderId="0" xfId="0" applyBorder="1" applyAlignment="1">
      <alignment/>
    </xf>
    <xf numFmtId="0" fontId="0" fillId="0" borderId="0" xfId="0" applyAlignment="1">
      <alignment horizontal="right"/>
    </xf>
    <xf numFmtId="0" fontId="0" fillId="0" borderId="0" xfId="0" applyAlignment="1" applyProtection="1">
      <alignment/>
      <protection/>
    </xf>
    <xf numFmtId="0" fontId="9" fillId="0" borderId="0" xfId="0" applyFont="1" applyAlignment="1" applyProtection="1">
      <alignment/>
      <protection/>
    </xf>
    <xf numFmtId="0" fontId="1" fillId="0" borderId="0" xfId="0" applyFont="1" applyAlignment="1" applyProtection="1">
      <alignment/>
      <protection/>
    </xf>
    <xf numFmtId="0" fontId="4" fillId="0" borderId="0" xfId="0" applyFont="1" applyAlignment="1" applyProtection="1">
      <alignment/>
      <protection/>
    </xf>
    <xf numFmtId="0" fontId="1" fillId="0" borderId="0" xfId="0" applyFont="1" applyAlignment="1" applyProtection="1">
      <alignment horizontal="right"/>
      <protection/>
    </xf>
    <xf numFmtId="0" fontId="9" fillId="4" borderId="0" xfId="0" applyFont="1" applyFill="1" applyBorder="1" applyAlignment="1" applyProtection="1">
      <alignment/>
      <protection/>
    </xf>
    <xf numFmtId="0" fontId="9" fillId="0" borderId="0" xfId="0" applyFont="1" applyBorder="1" applyAlignment="1" applyProtection="1">
      <alignment/>
      <protection/>
    </xf>
    <xf numFmtId="165" fontId="10" fillId="17" borderId="0" xfId="0" applyNumberFormat="1" applyFont="1" applyFill="1" applyAlignment="1" applyProtection="1">
      <alignment/>
      <protection/>
    </xf>
    <xf numFmtId="169" fontId="16" fillId="0" borderId="16" xfId="0" applyNumberFormat="1" applyFont="1" applyBorder="1" applyAlignment="1" applyProtection="1">
      <alignment horizontal="center"/>
      <protection locked="0"/>
    </xf>
    <xf numFmtId="169" fontId="27" fillId="0" borderId="14" xfId="0" applyNumberFormat="1" applyFont="1" applyBorder="1" applyAlignment="1" applyProtection="1">
      <alignment horizontal="center"/>
      <protection locked="0"/>
    </xf>
    <xf numFmtId="1" fontId="27" fillId="0" borderId="14" xfId="0" applyNumberFormat="1" applyFont="1" applyBorder="1" applyAlignment="1" applyProtection="1">
      <alignment horizontal="center"/>
      <protection locked="0"/>
    </xf>
    <xf numFmtId="171" fontId="16" fillId="0" borderId="14" xfId="63" applyNumberFormat="1" applyFont="1" applyBorder="1" applyAlignment="1" applyProtection="1">
      <alignment horizontal="center"/>
      <protection locked="0"/>
    </xf>
    <xf numFmtId="171" fontId="16" fillId="0" borderId="14" xfId="0" applyNumberFormat="1" applyFont="1" applyBorder="1" applyAlignment="1" applyProtection="1">
      <alignment horizontal="center"/>
      <protection locked="0"/>
    </xf>
    <xf numFmtId="170" fontId="16" fillId="0" borderId="16" xfId="0" applyNumberFormat="1" applyFont="1" applyBorder="1" applyAlignment="1" applyProtection="1">
      <alignment horizontal="center"/>
      <protection locked="0"/>
    </xf>
    <xf numFmtId="170" fontId="16" fillId="0" borderId="17" xfId="0" applyNumberFormat="1" applyFont="1" applyBorder="1" applyAlignment="1" applyProtection="1">
      <alignment horizontal="center"/>
      <protection locked="0"/>
    </xf>
    <xf numFmtId="0" fontId="16" fillId="0" borderId="17" xfId="0" applyFont="1" applyBorder="1" applyAlignment="1" applyProtection="1">
      <alignment horizontal="center"/>
      <protection locked="0"/>
    </xf>
    <xf numFmtId="0" fontId="0" fillId="0" borderId="18" xfId="0" applyBorder="1" applyAlignment="1">
      <alignment/>
    </xf>
    <xf numFmtId="170" fontId="4" fillId="0" borderId="0" xfId="0" applyNumberFormat="1" applyFont="1" applyBorder="1" applyAlignment="1" applyProtection="1">
      <alignment horizontal="center"/>
      <protection/>
    </xf>
    <xf numFmtId="170" fontId="4" fillId="0" borderId="0" xfId="0" applyNumberFormat="1" applyFont="1" applyAlignment="1" applyProtection="1">
      <alignment horizontal="center"/>
      <protection/>
    </xf>
    <xf numFmtId="170" fontId="0" fillId="0" borderId="0" xfId="0" applyNumberFormat="1" applyAlignment="1" applyProtection="1">
      <alignment horizontal="center"/>
      <protection/>
    </xf>
    <xf numFmtId="170" fontId="1" fillId="0" borderId="16" xfId="0" applyNumberFormat="1" applyFont="1" applyBorder="1" applyAlignment="1" applyProtection="1">
      <alignment horizontal="center"/>
      <protection/>
    </xf>
    <xf numFmtId="170" fontId="1" fillId="0" borderId="19" xfId="0" applyNumberFormat="1" applyFont="1" applyBorder="1" applyAlignment="1" applyProtection="1">
      <alignment horizontal="center"/>
      <protection/>
    </xf>
    <xf numFmtId="170" fontId="26" fillId="0" borderId="19" xfId="0" applyNumberFormat="1" applyFont="1" applyBorder="1" applyAlignment="1" applyProtection="1">
      <alignment horizontal="center"/>
      <protection/>
    </xf>
    <xf numFmtId="0" fontId="4" fillId="0" borderId="0" xfId="0" applyFont="1" applyAlignment="1" applyProtection="1">
      <alignment horizontal="center"/>
      <protection/>
    </xf>
    <xf numFmtId="0" fontId="1" fillId="0" borderId="15" xfId="0" applyFont="1" applyBorder="1" applyAlignment="1" applyProtection="1">
      <alignment horizontal="center"/>
      <protection/>
    </xf>
    <xf numFmtId="0" fontId="4" fillId="0" borderId="20" xfId="0" applyFont="1" applyBorder="1" applyAlignment="1" applyProtection="1">
      <alignment horizontal="right"/>
      <protection/>
    </xf>
    <xf numFmtId="0" fontId="4" fillId="0" borderId="0" xfId="0" applyFont="1" applyAlignment="1" applyProtection="1">
      <alignment horizontal="right"/>
      <protection/>
    </xf>
    <xf numFmtId="165" fontId="4" fillId="4" borderId="0" xfId="0" applyNumberFormat="1" applyFont="1" applyFill="1" applyBorder="1" applyAlignment="1" applyProtection="1">
      <alignment horizontal="right"/>
      <protection/>
    </xf>
    <xf numFmtId="165" fontId="9" fillId="0" borderId="0" xfId="0" applyNumberFormat="1" applyFont="1" applyBorder="1" applyAlignment="1" applyProtection="1">
      <alignment/>
      <protection/>
    </xf>
    <xf numFmtId="0" fontId="4" fillId="0" borderId="0" xfId="0" applyFont="1" applyAlignment="1" applyProtection="1">
      <alignment horizontal="left"/>
      <protection/>
    </xf>
    <xf numFmtId="0" fontId="0" fillId="0" borderId="0" xfId="0" applyBorder="1" applyAlignment="1" applyProtection="1">
      <alignment/>
      <protection/>
    </xf>
    <xf numFmtId="165" fontId="0" fillId="0" borderId="0" xfId="0" applyNumberFormat="1" applyBorder="1" applyAlignment="1" applyProtection="1">
      <alignment horizontal="left"/>
      <protection/>
    </xf>
    <xf numFmtId="0" fontId="4" fillId="0" borderId="16" xfId="0" applyFont="1" applyBorder="1" applyAlignment="1" applyProtection="1">
      <alignment horizontal="center"/>
      <protection/>
    </xf>
    <xf numFmtId="0" fontId="4" fillId="0" borderId="19" xfId="0" applyFont="1" applyBorder="1" applyAlignment="1" applyProtection="1">
      <alignment horizontal="center"/>
      <protection/>
    </xf>
    <xf numFmtId="0" fontId="4" fillId="0" borderId="15" xfId="0" applyFont="1" applyBorder="1" applyAlignment="1" applyProtection="1">
      <alignment horizontal="center"/>
      <protection/>
    </xf>
    <xf numFmtId="0" fontId="0" fillId="0" borderId="16" xfId="0" applyBorder="1" applyAlignment="1">
      <alignment horizontal="center"/>
    </xf>
    <xf numFmtId="0" fontId="0" fillId="0" borderId="19" xfId="0" applyBorder="1" applyAlignment="1">
      <alignment horizontal="center"/>
    </xf>
    <xf numFmtId="0" fontId="0" fillId="0" borderId="15" xfId="0" applyBorder="1" applyAlignment="1">
      <alignment horizontal="center"/>
    </xf>
    <xf numFmtId="5" fontId="0" fillId="0" borderId="0" xfId="0" applyNumberFormat="1" applyAlignment="1">
      <alignment horizontal="center"/>
    </xf>
    <xf numFmtId="5" fontId="0" fillId="0" borderId="21" xfId="0" applyNumberFormat="1" applyBorder="1" applyAlignment="1">
      <alignment horizontal="center"/>
    </xf>
    <xf numFmtId="5" fontId="0" fillId="0" borderId="16" xfId="0" applyNumberFormat="1" applyBorder="1" applyAlignment="1">
      <alignment horizontal="center"/>
    </xf>
    <xf numFmtId="5" fontId="0" fillId="0" borderId="19" xfId="0" applyNumberFormat="1" applyBorder="1" applyAlignment="1">
      <alignment horizontal="center"/>
    </xf>
    <xf numFmtId="5" fontId="0" fillId="0" borderId="15" xfId="0" applyNumberFormat="1" applyBorder="1" applyAlignment="1">
      <alignment horizontal="center"/>
    </xf>
    <xf numFmtId="0" fontId="0" fillId="0" borderId="0" xfId="0" applyFont="1" applyAlignment="1">
      <alignment horizontal="right"/>
    </xf>
    <xf numFmtId="0" fontId="9" fillId="0" borderId="19" xfId="0" applyFont="1" applyBorder="1" applyAlignment="1">
      <alignment horizontal="center"/>
    </xf>
    <xf numFmtId="5" fontId="0" fillId="0" borderId="14" xfId="0" applyNumberFormat="1" applyBorder="1" applyAlignment="1">
      <alignment horizontal="center"/>
    </xf>
    <xf numFmtId="0" fontId="37" fillId="0" borderId="0" xfId="0" applyFont="1" applyAlignment="1">
      <alignment/>
    </xf>
    <xf numFmtId="0" fontId="38" fillId="0" borderId="0" xfId="0" applyFont="1" applyAlignment="1">
      <alignment/>
    </xf>
    <xf numFmtId="5" fontId="0" fillId="0" borderId="0" xfId="0" applyNumberFormat="1" applyBorder="1" applyAlignment="1">
      <alignment horizontal="center"/>
    </xf>
    <xf numFmtId="0" fontId="23" fillId="0" borderId="19" xfId="0" applyFont="1" applyBorder="1" applyAlignment="1">
      <alignment horizontal="center"/>
    </xf>
    <xf numFmtId="0" fontId="23" fillId="0" borderId="15" xfId="0" applyFont="1" applyBorder="1" applyAlignment="1">
      <alignment horizontal="center"/>
    </xf>
    <xf numFmtId="5" fontId="23" fillId="0" borderId="14" xfId="0" applyNumberFormat="1" applyFont="1" applyBorder="1" applyAlignment="1">
      <alignment horizontal="center"/>
    </xf>
    <xf numFmtId="0" fontId="23" fillId="0" borderId="14" xfId="0" applyFont="1" applyBorder="1" applyAlignment="1">
      <alignment horizontal="center"/>
    </xf>
    <xf numFmtId="0" fontId="23" fillId="0" borderId="16" xfId="0" applyFont="1" applyBorder="1" applyAlignment="1">
      <alignment horizontal="center"/>
    </xf>
    <xf numFmtId="5" fontId="0" fillId="17" borderId="0" xfId="0" applyNumberFormat="1" applyFill="1" applyAlignment="1">
      <alignment horizontal="center"/>
    </xf>
    <xf numFmtId="5" fontId="23" fillId="0" borderId="15" xfId="0" applyNumberFormat="1" applyFont="1" applyBorder="1" applyAlignment="1">
      <alignment horizontal="center"/>
    </xf>
    <xf numFmtId="0" fontId="38" fillId="17" borderId="0" xfId="0" applyFont="1" applyFill="1" applyAlignment="1">
      <alignment/>
    </xf>
    <xf numFmtId="0" fontId="40" fillId="0" borderId="19" xfId="0" applyFont="1" applyBorder="1" applyAlignment="1" applyProtection="1" quotePrefix="1">
      <alignment horizontal="center"/>
      <protection/>
    </xf>
    <xf numFmtId="0" fontId="4" fillId="0" borderId="19" xfId="0" applyFont="1" applyFill="1" applyBorder="1" applyAlignment="1" applyProtection="1">
      <alignment horizontal="center"/>
      <protection/>
    </xf>
    <xf numFmtId="0" fontId="1" fillId="0" borderId="19" xfId="0" applyFont="1" applyFill="1" applyBorder="1" applyAlignment="1" applyProtection="1">
      <alignment horizontal="center"/>
      <protection/>
    </xf>
    <xf numFmtId="0" fontId="41" fillId="0" borderId="19" xfId="0" applyFont="1" applyBorder="1" applyAlignment="1" applyProtection="1" quotePrefix="1">
      <alignment horizontal="center"/>
      <protection/>
    </xf>
    <xf numFmtId="0" fontId="43" fillId="0" borderId="0" xfId="0" applyFont="1" applyAlignment="1">
      <alignment/>
    </xf>
    <xf numFmtId="0" fontId="36" fillId="0" borderId="0" xfId="0" applyFont="1" applyAlignment="1">
      <alignment/>
    </xf>
    <xf numFmtId="0" fontId="36" fillId="0" borderId="18" xfId="0" applyFont="1" applyBorder="1" applyAlignment="1">
      <alignment/>
    </xf>
    <xf numFmtId="0" fontId="35" fillId="0" borderId="0" xfId="0" applyFont="1" applyAlignment="1">
      <alignment/>
    </xf>
    <xf numFmtId="0" fontId="0" fillId="0" borderId="0" xfId="0" applyAlignment="1" applyProtection="1">
      <alignment horizontal="right"/>
      <protection/>
    </xf>
    <xf numFmtId="0" fontId="0" fillId="0" borderId="0" xfId="0" applyBorder="1" applyAlignment="1" applyProtection="1">
      <alignment/>
      <protection/>
    </xf>
    <xf numFmtId="0" fontId="0" fillId="0" borderId="0" xfId="0" applyBorder="1" applyAlignment="1" applyProtection="1">
      <alignment horizontal="left"/>
      <protection/>
    </xf>
    <xf numFmtId="0" fontId="0" fillId="0" borderId="0" xfId="0" applyAlignment="1" applyProtection="1">
      <alignment horizontal="center"/>
      <protection/>
    </xf>
    <xf numFmtId="0" fontId="15" fillId="0" borderId="14" xfId="0" applyFont="1" applyBorder="1" applyAlignment="1" applyProtection="1">
      <alignment horizontal="center"/>
      <protection locked="0"/>
    </xf>
    <xf numFmtId="5" fontId="15" fillId="0" borderId="0" xfId="0" applyNumberFormat="1" applyFont="1" applyAlignment="1" applyProtection="1">
      <alignment/>
      <protection locked="0"/>
    </xf>
    <xf numFmtId="9" fontId="15" fillId="0" borderId="0" xfId="63" applyFont="1" applyAlignment="1" applyProtection="1">
      <alignment/>
      <protection locked="0"/>
    </xf>
    <xf numFmtId="9" fontId="27" fillId="0" borderId="14" xfId="63" applyFont="1" applyBorder="1" applyAlignment="1" applyProtection="1">
      <alignment horizontal="center"/>
      <protection locked="0"/>
    </xf>
    <xf numFmtId="0" fontId="33" fillId="0" borderId="0" xfId="0" applyFont="1" applyAlignment="1" applyProtection="1">
      <alignment/>
      <protection/>
    </xf>
    <xf numFmtId="0" fontId="17" fillId="0" borderId="0" xfId="0" applyFont="1" applyAlignment="1" applyProtection="1">
      <alignment horizontal="center"/>
      <protection/>
    </xf>
    <xf numFmtId="0" fontId="33" fillId="0" borderId="0" xfId="0" applyFont="1" applyAlignment="1" applyProtection="1">
      <alignment horizontal="right"/>
      <protection/>
    </xf>
    <xf numFmtId="0" fontId="17" fillId="0" borderId="0" xfId="0" applyFont="1" applyAlignment="1" applyProtection="1">
      <alignment horizontal="left"/>
      <protection/>
    </xf>
    <xf numFmtId="0" fontId="28" fillId="0" borderId="0" xfId="0" applyFont="1" applyAlignment="1" applyProtection="1">
      <alignment horizontal="right"/>
      <protection/>
    </xf>
    <xf numFmtId="0" fontId="21" fillId="0" borderId="0" xfId="0" applyFont="1" applyAlignment="1" applyProtection="1">
      <alignment/>
      <protection/>
    </xf>
    <xf numFmtId="0" fontId="4" fillId="0" borderId="22" xfId="0" applyFont="1" applyBorder="1" applyAlignment="1" applyProtection="1">
      <alignment/>
      <protection/>
    </xf>
    <xf numFmtId="0" fontId="4" fillId="0" borderId="23" xfId="0" applyFont="1" applyBorder="1" applyAlignment="1" applyProtection="1">
      <alignment/>
      <protection/>
    </xf>
    <xf numFmtId="0" fontId="0" fillId="0" borderId="24" xfId="0" applyBorder="1" applyAlignment="1" applyProtection="1">
      <alignment/>
      <protection/>
    </xf>
    <xf numFmtId="0" fontId="0" fillId="0" borderId="23" xfId="0" applyBorder="1" applyAlignment="1" applyProtection="1">
      <alignment/>
      <protection/>
    </xf>
    <xf numFmtId="0" fontId="0" fillId="0" borderId="24" xfId="0" applyBorder="1" applyAlignment="1" applyProtection="1">
      <alignment horizontal="center"/>
      <protection/>
    </xf>
    <xf numFmtId="0" fontId="1" fillId="0" borderId="0" xfId="0" applyFont="1" applyAlignment="1" applyProtection="1">
      <alignment horizontal="center"/>
      <protection/>
    </xf>
    <xf numFmtId="0" fontId="0" fillId="0" borderId="25" xfId="0" applyBorder="1" applyAlignment="1" applyProtection="1">
      <alignment horizontal="center"/>
      <protection/>
    </xf>
    <xf numFmtId="0" fontId="0" fillId="0" borderId="25" xfId="0" applyBorder="1" applyAlignment="1" applyProtection="1">
      <alignment/>
      <protection/>
    </xf>
    <xf numFmtId="0" fontId="1" fillId="0" borderId="26" xfId="0" applyFont="1" applyBorder="1" applyAlignment="1" applyProtection="1">
      <alignment horizontal="center"/>
      <protection/>
    </xf>
    <xf numFmtId="0" fontId="1" fillId="0" borderId="0" xfId="0" applyFont="1" applyBorder="1" applyAlignment="1" applyProtection="1">
      <alignment horizontal="center"/>
      <protection/>
    </xf>
    <xf numFmtId="6" fontId="0" fillId="16" borderId="0" xfId="0" applyNumberFormat="1" applyFill="1" applyAlignment="1" applyProtection="1">
      <alignment/>
      <protection/>
    </xf>
    <xf numFmtId="8" fontId="4" fillId="0" borderId="0" xfId="0" applyNumberFormat="1" applyFont="1" applyAlignment="1" applyProtection="1">
      <alignment/>
      <protection/>
    </xf>
    <xf numFmtId="6" fontId="0" fillId="0" borderId="0" xfId="0" applyNumberFormat="1" applyAlignment="1" applyProtection="1">
      <alignment/>
      <protection/>
    </xf>
    <xf numFmtId="8" fontId="0" fillId="0" borderId="0" xfId="0" applyNumberFormat="1" applyAlignment="1" applyProtection="1">
      <alignment/>
      <protection/>
    </xf>
    <xf numFmtId="0" fontId="4" fillId="0" borderId="14" xfId="0" applyFont="1" applyBorder="1" applyAlignment="1" applyProtection="1">
      <alignment horizontal="center"/>
      <protection/>
    </xf>
    <xf numFmtId="170" fontId="4" fillId="0" borderId="22" xfId="0" applyNumberFormat="1" applyFont="1" applyBorder="1" applyAlignment="1" applyProtection="1">
      <alignment horizontal="center"/>
      <protection/>
    </xf>
    <xf numFmtId="170" fontId="4" fillId="0" borderId="23" xfId="0" applyNumberFormat="1" applyFont="1" applyBorder="1" applyAlignment="1" applyProtection="1">
      <alignment horizontal="center"/>
      <protection/>
    </xf>
    <xf numFmtId="170" fontId="4" fillId="0" borderId="24" xfId="0" applyNumberFormat="1" applyFont="1" applyBorder="1" applyAlignment="1" applyProtection="1">
      <alignment horizontal="center"/>
      <protection/>
    </xf>
    <xf numFmtId="170" fontId="4" fillId="0" borderId="16" xfId="0" applyNumberFormat="1" applyFont="1" applyBorder="1" applyAlignment="1" applyProtection="1">
      <alignment horizontal="center"/>
      <protection/>
    </xf>
    <xf numFmtId="170" fontId="4" fillId="0" borderId="19" xfId="0" applyNumberFormat="1" applyFont="1" applyBorder="1" applyAlignment="1" applyProtection="1">
      <alignment horizontal="center"/>
      <protection/>
    </xf>
    <xf numFmtId="170" fontId="4" fillId="0" borderId="27" xfId="0" applyNumberFormat="1" applyFont="1" applyBorder="1" applyAlignment="1" applyProtection="1">
      <alignment horizontal="center"/>
      <protection/>
    </xf>
    <xf numFmtId="170" fontId="4" fillId="0" borderId="18" xfId="0" applyNumberFormat="1" applyFont="1" applyBorder="1" applyAlignment="1" applyProtection="1">
      <alignment horizontal="center"/>
      <protection/>
    </xf>
    <xf numFmtId="170" fontId="4" fillId="0" borderId="28" xfId="0" applyNumberFormat="1" applyFont="1" applyBorder="1" applyAlignment="1" applyProtection="1">
      <alignment horizontal="center"/>
      <protection/>
    </xf>
    <xf numFmtId="170" fontId="4" fillId="0" borderId="15" xfId="0" applyNumberFormat="1" applyFont="1" applyBorder="1" applyAlignment="1" applyProtection="1">
      <alignment horizontal="center"/>
      <protection/>
    </xf>
    <xf numFmtId="3" fontId="4" fillId="0" borderId="0" xfId="0" applyNumberFormat="1" applyFont="1" applyAlignment="1" applyProtection="1">
      <alignment horizontal="center"/>
      <protection/>
    </xf>
    <xf numFmtId="170" fontId="4" fillId="0" borderId="0" xfId="0" applyNumberFormat="1" applyFont="1" applyAlignment="1" applyProtection="1">
      <alignment/>
      <protection/>
    </xf>
    <xf numFmtId="6" fontId="0" fillId="0" borderId="0" xfId="0" applyNumberFormat="1" applyFill="1" applyAlignment="1" applyProtection="1">
      <alignment/>
      <protection/>
    </xf>
    <xf numFmtId="170" fontId="1" fillId="0" borderId="0" xfId="0" applyNumberFormat="1" applyFont="1" applyAlignment="1" applyProtection="1">
      <alignment horizontal="center"/>
      <protection/>
    </xf>
    <xf numFmtId="0" fontId="17" fillId="0" borderId="0" xfId="0" applyFont="1" applyAlignment="1" applyProtection="1">
      <alignment/>
      <protection/>
    </xf>
    <xf numFmtId="0" fontId="4" fillId="0" borderId="20" xfId="0" applyFont="1" applyBorder="1" applyAlignment="1" applyProtection="1">
      <alignment horizontal="center"/>
      <protection/>
    </xf>
    <xf numFmtId="0" fontId="4" fillId="0" borderId="29" xfId="0" applyFont="1" applyBorder="1" applyAlignment="1" applyProtection="1">
      <alignment horizontal="center"/>
      <protection/>
    </xf>
    <xf numFmtId="0" fontId="1" fillId="0" borderId="18" xfId="0" applyFont="1" applyBorder="1" applyAlignment="1" applyProtection="1">
      <alignment horizontal="center"/>
      <protection/>
    </xf>
    <xf numFmtId="170" fontId="4" fillId="17" borderId="0" xfId="0" applyNumberFormat="1" applyFont="1" applyFill="1" applyAlignment="1" applyProtection="1">
      <alignment/>
      <protection/>
    </xf>
    <xf numFmtId="0" fontId="4" fillId="0" borderId="0" xfId="0" applyFont="1" applyBorder="1" applyAlignment="1" applyProtection="1">
      <alignment horizontal="center"/>
      <protection/>
    </xf>
    <xf numFmtId="3" fontId="4" fillId="17" borderId="0" xfId="0" applyNumberFormat="1" applyFont="1" applyFill="1" applyAlignment="1" applyProtection="1">
      <alignment/>
      <protection/>
    </xf>
    <xf numFmtId="0" fontId="4" fillId="0" borderId="18" xfId="0" applyFont="1" applyBorder="1" applyAlignment="1" applyProtection="1">
      <alignment horizontal="center"/>
      <protection/>
    </xf>
    <xf numFmtId="0" fontId="4" fillId="0" borderId="25" xfId="0" applyFont="1" applyBorder="1" applyAlignment="1" applyProtection="1">
      <alignment horizontal="right"/>
      <protection/>
    </xf>
    <xf numFmtId="6" fontId="4" fillId="0" borderId="22" xfId="0" applyNumberFormat="1" applyFont="1" applyBorder="1" applyAlignment="1" applyProtection="1">
      <alignment horizontal="center"/>
      <protection/>
    </xf>
    <xf numFmtId="170" fontId="0" fillId="0" borderId="18" xfId="0" applyNumberFormat="1" applyBorder="1" applyAlignment="1" applyProtection="1">
      <alignment horizontal="center"/>
      <protection/>
    </xf>
    <xf numFmtId="170" fontId="0" fillId="0" borderId="15" xfId="0" applyNumberFormat="1" applyBorder="1" applyAlignment="1" applyProtection="1">
      <alignment horizontal="center"/>
      <protection/>
    </xf>
    <xf numFmtId="6" fontId="4" fillId="0" borderId="27" xfId="0" applyNumberFormat="1" applyFont="1" applyBorder="1" applyAlignment="1" applyProtection="1">
      <alignment horizontal="center"/>
      <protection/>
    </xf>
    <xf numFmtId="169" fontId="4" fillId="0" borderId="25" xfId="0" applyNumberFormat="1" applyFont="1" applyBorder="1" applyAlignment="1" applyProtection="1">
      <alignment horizontal="center"/>
      <protection/>
    </xf>
    <xf numFmtId="6" fontId="4" fillId="0" borderId="26" xfId="0" applyNumberFormat="1" applyFont="1" applyBorder="1" applyAlignment="1" applyProtection="1">
      <alignment horizontal="center"/>
      <protection/>
    </xf>
    <xf numFmtId="169" fontId="0" fillId="0" borderId="28" xfId="0" applyNumberFormat="1" applyBorder="1" applyAlignment="1" applyProtection="1">
      <alignment horizontal="center"/>
      <protection/>
    </xf>
    <xf numFmtId="6" fontId="4" fillId="0" borderId="0" xfId="0" applyNumberFormat="1" applyFont="1" applyAlignment="1" applyProtection="1">
      <alignment horizontal="center"/>
      <protection/>
    </xf>
    <xf numFmtId="0" fontId="0" fillId="17" borderId="0" xfId="0" applyFill="1" applyAlignment="1" applyProtection="1">
      <alignment/>
      <protection/>
    </xf>
    <xf numFmtId="4" fontId="4" fillId="0" borderId="0" xfId="0" applyNumberFormat="1" applyFont="1" applyAlignment="1" applyProtection="1">
      <alignment/>
      <protection/>
    </xf>
    <xf numFmtId="173" fontId="4" fillId="0" borderId="0" xfId="0" applyNumberFormat="1" applyFont="1" applyAlignment="1" applyProtection="1">
      <alignment/>
      <protection/>
    </xf>
    <xf numFmtId="170" fontId="1" fillId="0" borderId="0" xfId="0" applyNumberFormat="1" applyFont="1" applyAlignment="1" applyProtection="1">
      <alignment horizontal="left"/>
      <protection/>
    </xf>
    <xf numFmtId="0" fontId="4" fillId="0" borderId="13" xfId="0" applyFont="1" applyBorder="1" applyAlignment="1" applyProtection="1">
      <alignment horizontal="center"/>
      <protection/>
    </xf>
    <xf numFmtId="170" fontId="1" fillId="0" borderId="0" xfId="0" applyNumberFormat="1" applyFont="1" applyAlignment="1" applyProtection="1">
      <alignment/>
      <protection/>
    </xf>
    <xf numFmtId="0" fontId="1" fillId="0" borderId="0" xfId="0" applyFont="1" applyBorder="1" applyAlignment="1" applyProtection="1">
      <alignment/>
      <protection/>
    </xf>
    <xf numFmtId="0" fontId="42" fillId="0" borderId="0" xfId="0" applyFont="1" applyAlignment="1" applyProtection="1">
      <alignment/>
      <protection/>
    </xf>
    <xf numFmtId="0" fontId="1" fillId="0" borderId="20" xfId="0" applyFont="1" applyBorder="1" applyAlignment="1" applyProtection="1">
      <alignment horizontal="center"/>
      <protection/>
    </xf>
    <xf numFmtId="0" fontId="4" fillId="0" borderId="0" xfId="0" applyFont="1" applyFill="1" applyAlignment="1" applyProtection="1">
      <alignment horizontal="center"/>
      <protection/>
    </xf>
    <xf numFmtId="170" fontId="16" fillId="0" borderId="0" xfId="0" applyNumberFormat="1" applyFont="1" applyBorder="1" applyAlignment="1" applyProtection="1">
      <alignment horizontal="center"/>
      <protection/>
    </xf>
    <xf numFmtId="0" fontId="1" fillId="16" borderId="0" xfId="0" applyFont="1" applyFill="1" applyAlignment="1" applyProtection="1">
      <alignment horizontal="center"/>
      <protection/>
    </xf>
    <xf numFmtId="0" fontId="20" fillId="16" borderId="23" xfId="0" applyFont="1" applyFill="1" applyBorder="1" applyAlignment="1" applyProtection="1">
      <alignment horizontal="center"/>
      <protection/>
    </xf>
    <xf numFmtId="0" fontId="16" fillId="0" borderId="0" xfId="0" applyFont="1" applyAlignment="1" applyProtection="1">
      <alignment/>
      <protection/>
    </xf>
    <xf numFmtId="170" fontId="4" fillId="0" borderId="18" xfId="0" applyNumberFormat="1" applyFont="1" applyBorder="1" applyAlignment="1" applyProtection="1">
      <alignment/>
      <protection/>
    </xf>
    <xf numFmtId="10" fontId="4" fillId="0" borderId="0" xfId="0" applyNumberFormat="1" applyFont="1" applyAlignment="1" applyProtection="1">
      <alignment/>
      <protection/>
    </xf>
    <xf numFmtId="10" fontId="4" fillId="0" borderId="0" xfId="0" applyNumberFormat="1" applyFont="1" applyAlignment="1" applyProtection="1">
      <alignment horizontal="center"/>
      <protection/>
    </xf>
    <xf numFmtId="10" fontId="4" fillId="0" borderId="18" xfId="0" applyNumberFormat="1" applyFont="1" applyBorder="1" applyAlignment="1" applyProtection="1">
      <alignment horizontal="center"/>
      <protection/>
    </xf>
    <xf numFmtId="0" fontId="16" fillId="0" borderId="0" xfId="0" applyFont="1" applyAlignment="1" applyProtection="1">
      <alignment horizontal="center"/>
      <protection/>
    </xf>
    <xf numFmtId="37" fontId="0" fillId="0" borderId="0" xfId="0" applyNumberFormat="1" applyAlignment="1" applyProtection="1">
      <alignment/>
      <protection/>
    </xf>
    <xf numFmtId="0" fontId="0" fillId="0" borderId="0" xfId="0" applyAlignment="1">
      <alignment horizontal="center"/>
    </xf>
    <xf numFmtId="0" fontId="0" fillId="0" borderId="14" xfId="0" applyBorder="1" applyAlignment="1">
      <alignment horizontal="center"/>
    </xf>
    <xf numFmtId="0" fontId="9" fillId="15" borderId="0" xfId="0" applyFont="1" applyFill="1" applyAlignment="1">
      <alignment horizontal="center"/>
    </xf>
    <xf numFmtId="169" fontId="0" fillId="0" borderId="0" xfId="0" applyNumberFormat="1" applyAlignment="1">
      <alignment horizontal="center"/>
    </xf>
    <xf numFmtId="170" fontId="0" fillId="0" borderId="0" xfId="0" applyNumberFormat="1" applyAlignment="1">
      <alignment horizontal="center"/>
    </xf>
    <xf numFmtId="6" fontId="4" fillId="0" borderId="0" xfId="0" applyNumberFormat="1" applyFont="1" applyAlignment="1" applyProtection="1">
      <alignment/>
      <protection/>
    </xf>
    <xf numFmtId="6" fontId="4" fillId="0" borderId="18" xfId="0" applyNumberFormat="1" applyFont="1" applyBorder="1" applyAlignment="1" applyProtection="1">
      <alignment/>
      <protection/>
    </xf>
    <xf numFmtId="6" fontId="4" fillId="0" borderId="0" xfId="0" applyNumberFormat="1" applyFont="1" applyAlignment="1" applyProtection="1">
      <alignment horizontal="right"/>
      <protection/>
    </xf>
    <xf numFmtId="6" fontId="4" fillId="0" borderId="0" xfId="0" applyNumberFormat="1" applyFont="1" applyBorder="1" applyAlignment="1" applyProtection="1">
      <alignment horizontal="center"/>
      <protection/>
    </xf>
    <xf numFmtId="6" fontId="4" fillId="0" borderId="18" xfId="0" applyNumberFormat="1" applyFont="1" applyBorder="1" applyAlignment="1" applyProtection="1">
      <alignment horizontal="center"/>
      <protection/>
    </xf>
    <xf numFmtId="6" fontId="4" fillId="16" borderId="0" xfId="0" applyNumberFormat="1" applyFont="1" applyFill="1" applyAlignment="1" applyProtection="1">
      <alignment/>
      <protection/>
    </xf>
    <xf numFmtId="6" fontId="4" fillId="16" borderId="26" xfId="0" applyNumberFormat="1" applyFont="1" applyFill="1" applyBorder="1" applyAlignment="1" applyProtection="1">
      <alignment horizontal="center"/>
      <protection/>
    </xf>
    <xf numFmtId="6" fontId="4" fillId="16" borderId="0" xfId="0" applyNumberFormat="1" applyFont="1" applyFill="1" applyBorder="1" applyAlignment="1" applyProtection="1">
      <alignment horizontal="center"/>
      <protection/>
    </xf>
    <xf numFmtId="6" fontId="0" fillId="16" borderId="25" xfId="0" applyNumberFormat="1" applyFill="1" applyBorder="1" applyAlignment="1" applyProtection="1">
      <alignment horizontal="center"/>
      <protection/>
    </xf>
    <xf numFmtId="6" fontId="0" fillId="0" borderId="25" xfId="0" applyNumberFormat="1" applyBorder="1" applyAlignment="1" applyProtection="1">
      <alignment horizontal="center"/>
      <protection/>
    </xf>
    <xf numFmtId="6" fontId="4" fillId="16" borderId="27" xfId="0" applyNumberFormat="1" applyFont="1" applyFill="1" applyBorder="1" applyAlignment="1" applyProtection="1">
      <alignment horizontal="center"/>
      <protection/>
    </xf>
    <xf numFmtId="6" fontId="4" fillId="16" borderId="18" xfId="0" applyNumberFormat="1" applyFont="1" applyFill="1" applyBorder="1" applyAlignment="1" applyProtection="1">
      <alignment horizontal="center"/>
      <protection/>
    </xf>
    <xf numFmtId="6" fontId="0" fillId="16" borderId="28" xfId="0" applyNumberFormat="1" applyFill="1" applyBorder="1" applyAlignment="1" applyProtection="1">
      <alignment horizontal="center"/>
      <protection/>
    </xf>
    <xf numFmtId="6" fontId="4" fillId="0" borderId="0" xfId="0" applyNumberFormat="1" applyFont="1" applyFill="1" applyAlignment="1" applyProtection="1">
      <alignment/>
      <protection/>
    </xf>
    <xf numFmtId="0" fontId="4" fillId="16" borderId="0" xfId="0" applyFont="1" applyFill="1" applyAlignment="1" applyProtection="1">
      <alignment horizontal="center"/>
      <protection/>
    </xf>
    <xf numFmtId="170" fontId="0" fillId="0" borderId="0" xfId="0" applyNumberFormat="1" applyAlignment="1">
      <alignment/>
    </xf>
    <xf numFmtId="3" fontId="0" fillId="0" borderId="0" xfId="0" applyNumberFormat="1" applyAlignment="1">
      <alignment horizontal="center"/>
    </xf>
    <xf numFmtId="0" fontId="0" fillId="15" borderId="0" xfId="0" applyFill="1" applyAlignment="1">
      <alignment/>
    </xf>
    <xf numFmtId="170" fontId="0" fillId="0" borderId="18" xfId="0" applyNumberFormat="1" applyBorder="1" applyAlignment="1">
      <alignment horizontal="center"/>
    </xf>
    <xf numFmtId="0" fontId="0" fillId="0" borderId="0" xfId="0" applyFill="1" applyAlignment="1">
      <alignment/>
    </xf>
    <xf numFmtId="0" fontId="9" fillId="0" borderId="0" xfId="0" applyFont="1" applyFill="1" applyAlignment="1">
      <alignment horizontal="center"/>
    </xf>
    <xf numFmtId="0" fontId="0" fillId="0" borderId="25" xfId="0" applyFont="1" applyBorder="1" applyAlignment="1">
      <alignment horizontal="right"/>
    </xf>
    <xf numFmtId="3" fontId="23" fillId="0" borderId="0" xfId="0" applyNumberFormat="1" applyFont="1" applyAlignment="1">
      <alignment horizontal="center"/>
    </xf>
    <xf numFmtId="0" fontId="15" fillId="0" borderId="30" xfId="0" applyFont="1" applyBorder="1" applyAlignment="1" applyProtection="1">
      <alignment horizontal="center"/>
      <protection locked="0"/>
    </xf>
    <xf numFmtId="0" fontId="15" fillId="0" borderId="31" xfId="0" applyFont="1" applyBorder="1" applyAlignment="1" applyProtection="1">
      <alignment horizontal="center"/>
      <protection locked="0"/>
    </xf>
    <xf numFmtId="0" fontId="15" fillId="0" borderId="32" xfId="0" applyFont="1" applyBorder="1" applyAlignment="1" applyProtection="1">
      <alignment horizontal="center"/>
      <protection locked="0"/>
    </xf>
    <xf numFmtId="0" fontId="27" fillId="0" borderId="33" xfId="0" applyFont="1" applyBorder="1" applyAlignment="1" applyProtection="1">
      <alignment horizontal="center"/>
      <protection locked="0"/>
    </xf>
    <xf numFmtId="0" fontId="27" fillId="0" borderId="34" xfId="0" applyFont="1" applyBorder="1" applyAlignment="1" applyProtection="1">
      <alignment horizontal="center"/>
      <protection locked="0"/>
    </xf>
    <xf numFmtId="0" fontId="27" fillId="0" borderId="35" xfId="0" applyFont="1" applyBorder="1" applyAlignment="1" applyProtection="1">
      <alignment horizontal="center"/>
      <protection locked="0"/>
    </xf>
    <xf numFmtId="0" fontId="27" fillId="0" borderId="36" xfId="0" applyFont="1" applyBorder="1" applyAlignment="1" applyProtection="1">
      <alignment horizontal="center"/>
      <protection locked="0"/>
    </xf>
    <xf numFmtId="0" fontId="27" fillId="0" borderId="37" xfId="0" applyFont="1" applyBorder="1" applyAlignment="1" applyProtection="1">
      <alignment horizontal="center"/>
      <protection locked="0"/>
    </xf>
    <xf numFmtId="0" fontId="27" fillId="0" borderId="38" xfId="0" applyFont="1" applyBorder="1" applyAlignment="1" applyProtection="1">
      <alignment horizontal="center"/>
      <protection locked="0"/>
    </xf>
    <xf numFmtId="9" fontId="27" fillId="0" borderId="36" xfId="0" applyNumberFormat="1" applyFont="1" applyBorder="1" applyAlignment="1" applyProtection="1">
      <alignment horizontal="center"/>
      <protection locked="0"/>
    </xf>
    <xf numFmtId="10" fontId="27" fillId="0" borderId="37" xfId="0" applyNumberFormat="1" applyFont="1" applyBorder="1" applyAlignment="1" applyProtection="1">
      <alignment horizontal="center"/>
      <protection locked="0"/>
    </xf>
    <xf numFmtId="10" fontId="27" fillId="0" borderId="38" xfId="0" applyNumberFormat="1" applyFont="1" applyBorder="1" applyAlignment="1" applyProtection="1">
      <alignment horizontal="center"/>
      <protection locked="0"/>
    </xf>
    <xf numFmtId="169" fontId="27" fillId="0" borderId="36" xfId="0" applyNumberFormat="1" applyFont="1" applyBorder="1" applyAlignment="1" applyProtection="1">
      <alignment horizontal="center"/>
      <protection locked="0"/>
    </xf>
    <xf numFmtId="169" fontId="27" fillId="0" borderId="37" xfId="0" applyNumberFormat="1" applyFont="1" applyBorder="1" applyAlignment="1" applyProtection="1">
      <alignment horizontal="center"/>
      <protection locked="0"/>
    </xf>
    <xf numFmtId="169" fontId="27" fillId="0" borderId="38" xfId="0" applyNumberFormat="1" applyFont="1" applyBorder="1" applyAlignment="1" applyProtection="1">
      <alignment horizontal="center"/>
      <protection locked="0"/>
    </xf>
    <xf numFmtId="9" fontId="27" fillId="0" borderId="39" xfId="0" applyNumberFormat="1" applyFont="1" applyBorder="1" applyAlignment="1" applyProtection="1">
      <alignment horizontal="center"/>
      <protection locked="0"/>
    </xf>
    <xf numFmtId="10" fontId="27" fillId="0" borderId="40" xfId="0" applyNumberFormat="1" applyFont="1" applyBorder="1" applyAlignment="1" applyProtection="1">
      <alignment horizontal="center"/>
      <protection locked="0"/>
    </xf>
    <xf numFmtId="10" fontId="27" fillId="0" borderId="41" xfId="0" applyNumberFormat="1" applyFont="1" applyBorder="1" applyAlignment="1" applyProtection="1">
      <alignment horizontal="center"/>
      <protection locked="0"/>
    </xf>
    <xf numFmtId="0" fontId="27" fillId="0" borderId="30" xfId="0" applyFont="1" applyBorder="1" applyAlignment="1" applyProtection="1">
      <alignment horizontal="center"/>
      <protection locked="0"/>
    </xf>
    <xf numFmtId="0" fontId="27" fillId="0" borderId="31" xfId="0" applyFont="1" applyBorder="1" applyAlignment="1" applyProtection="1">
      <alignment horizontal="center"/>
      <protection locked="0"/>
    </xf>
    <xf numFmtId="0" fontId="27" fillId="0" borderId="32" xfId="0" applyFont="1" applyBorder="1" applyAlignment="1" applyProtection="1">
      <alignment horizontal="center"/>
      <protection locked="0"/>
    </xf>
    <xf numFmtId="9" fontId="27" fillId="0" borderId="14" xfId="0" applyNumberFormat="1" applyFont="1" applyBorder="1" applyAlignment="1" applyProtection="1">
      <alignment horizontal="center"/>
      <protection locked="0"/>
    </xf>
    <xf numFmtId="9" fontId="0" fillId="0" borderId="0" xfId="63" applyFont="1" applyAlignment="1">
      <alignment horizontal="center"/>
    </xf>
    <xf numFmtId="10" fontId="0" fillId="0" borderId="0" xfId="63" applyNumberFormat="1" applyFont="1" applyAlignment="1">
      <alignment horizontal="center"/>
    </xf>
    <xf numFmtId="0" fontId="36" fillId="0" borderId="0" xfId="58">
      <alignment/>
      <protection/>
    </xf>
    <xf numFmtId="169" fontId="16" fillId="0" borderId="36" xfId="0" applyNumberFormat="1" applyFont="1" applyBorder="1" applyAlignment="1" applyProtection="1">
      <alignment horizontal="center"/>
      <protection locked="0"/>
    </xf>
    <xf numFmtId="174" fontId="0" fillId="0" borderId="0" xfId="0" applyNumberFormat="1" applyAlignment="1">
      <alignment/>
    </xf>
    <xf numFmtId="0" fontId="16" fillId="0" borderId="33" xfId="0" applyFont="1" applyBorder="1" applyAlignment="1" applyProtection="1">
      <alignment horizontal="center"/>
      <protection locked="0"/>
    </xf>
    <xf numFmtId="0" fontId="16" fillId="0" borderId="34" xfId="0" applyFont="1" applyBorder="1" applyAlignment="1" applyProtection="1">
      <alignment horizontal="center"/>
      <protection locked="0"/>
    </xf>
    <xf numFmtId="0" fontId="16" fillId="0" borderId="35" xfId="0" applyFont="1" applyBorder="1" applyAlignment="1" applyProtection="1">
      <alignment horizontal="center"/>
      <protection locked="0"/>
    </xf>
    <xf numFmtId="171" fontId="16" fillId="0" borderId="36" xfId="0" applyNumberFormat="1" applyFont="1" applyBorder="1" applyAlignment="1" applyProtection="1">
      <alignment horizontal="center"/>
      <protection locked="0"/>
    </xf>
    <xf numFmtId="171" fontId="16" fillId="0" borderId="37" xfId="0" applyNumberFormat="1" applyFont="1" applyBorder="1" applyAlignment="1" applyProtection="1">
      <alignment horizontal="center"/>
      <protection locked="0"/>
    </xf>
    <xf numFmtId="171" fontId="16" fillId="0" borderId="38" xfId="0" applyNumberFormat="1" applyFont="1" applyBorder="1" applyAlignment="1" applyProtection="1">
      <alignment horizontal="center"/>
      <protection locked="0"/>
    </xf>
    <xf numFmtId="169" fontId="16" fillId="0" borderId="37" xfId="0" applyNumberFormat="1" applyFont="1" applyBorder="1" applyAlignment="1" applyProtection="1">
      <alignment horizontal="center"/>
      <protection locked="0"/>
    </xf>
    <xf numFmtId="169" fontId="16" fillId="0" borderId="38" xfId="0" applyNumberFormat="1" applyFont="1" applyBorder="1" applyAlignment="1" applyProtection="1">
      <alignment horizontal="center"/>
      <protection locked="0"/>
    </xf>
    <xf numFmtId="0" fontId="16" fillId="0" borderId="39" xfId="0" applyFont="1" applyBorder="1" applyAlignment="1" applyProtection="1">
      <alignment horizontal="center"/>
      <protection locked="0"/>
    </xf>
    <xf numFmtId="0" fontId="16" fillId="0" borderId="40" xfId="0" applyFont="1" applyBorder="1" applyAlignment="1" applyProtection="1">
      <alignment horizontal="center"/>
      <protection locked="0"/>
    </xf>
    <xf numFmtId="0" fontId="16" fillId="0" borderId="41" xfId="0" applyFont="1" applyBorder="1" applyAlignment="1" applyProtection="1">
      <alignment horizontal="center"/>
      <protection locked="0"/>
    </xf>
    <xf numFmtId="0" fontId="33" fillId="0" borderId="0" xfId="0" applyFont="1" applyAlignment="1" applyProtection="1">
      <alignment horizontal="left"/>
      <protection/>
    </xf>
    <xf numFmtId="0" fontId="9" fillId="15" borderId="0" xfId="0" applyFont="1" applyFill="1" applyAlignment="1">
      <alignment/>
    </xf>
    <xf numFmtId="0" fontId="17" fillId="18" borderId="0" xfId="0" applyFont="1" applyFill="1" applyAlignment="1" applyProtection="1">
      <alignment/>
      <protection/>
    </xf>
    <xf numFmtId="0" fontId="0" fillId="18" borderId="0" xfId="0" applyFill="1" applyAlignment="1">
      <alignment/>
    </xf>
    <xf numFmtId="0" fontId="0" fillId="15" borderId="18" xfId="0" applyFill="1" applyBorder="1" applyAlignment="1">
      <alignment/>
    </xf>
    <xf numFmtId="0" fontId="9" fillId="0" borderId="0" xfId="0" applyFont="1" applyAlignment="1">
      <alignment/>
    </xf>
    <xf numFmtId="0" fontId="0" fillId="0" borderId="0" xfId="0" applyAlignment="1">
      <alignment/>
    </xf>
    <xf numFmtId="0" fontId="52" fillId="0" borderId="42" xfId="0" applyFont="1" applyBorder="1" applyAlignment="1">
      <alignment/>
    </xf>
    <xf numFmtId="0" fontId="52" fillId="0" borderId="42" xfId="0" applyFont="1" applyBorder="1" applyAlignment="1">
      <alignment horizontal="center"/>
    </xf>
    <xf numFmtId="0" fontId="52" fillId="0" borderId="43" xfId="0" applyFont="1" applyBorder="1" applyAlignment="1">
      <alignment/>
    </xf>
    <xf numFmtId="0" fontId="52" fillId="0" borderId="43" xfId="0" applyFont="1" applyBorder="1" applyAlignment="1">
      <alignment horizontal="center"/>
    </xf>
    <xf numFmtId="8" fontId="52" fillId="0" borderId="43" xfId="0" applyNumberFormat="1" applyFont="1" applyBorder="1" applyAlignment="1">
      <alignment horizontal="center"/>
    </xf>
    <xf numFmtId="0" fontId="52" fillId="0" borderId="44" xfId="0" applyFont="1" applyBorder="1" applyAlignment="1">
      <alignment/>
    </xf>
    <xf numFmtId="0" fontId="52" fillId="0" borderId="44" xfId="0" applyFont="1" applyBorder="1" applyAlignment="1">
      <alignment horizontal="center"/>
    </xf>
    <xf numFmtId="8" fontId="52" fillId="0" borderId="44" xfId="0" applyNumberFormat="1" applyFont="1" applyBorder="1" applyAlignment="1">
      <alignment horizontal="center"/>
    </xf>
    <xf numFmtId="0" fontId="9" fillId="15" borderId="18" xfId="0" applyFont="1" applyFill="1" applyBorder="1" applyAlignment="1">
      <alignment/>
    </xf>
    <xf numFmtId="3" fontId="4" fillId="0" borderId="0" xfId="0" applyNumberFormat="1" applyFont="1" applyAlignment="1" applyProtection="1">
      <alignment/>
      <protection/>
    </xf>
    <xf numFmtId="0" fontId="4" fillId="0" borderId="14" xfId="0" applyFont="1" applyBorder="1" applyAlignment="1" applyProtection="1">
      <alignment horizontal="center"/>
      <protection locked="0"/>
    </xf>
    <xf numFmtId="169" fontId="4" fillId="0" borderId="22" xfId="0" applyNumberFormat="1" applyFont="1" applyBorder="1" applyAlignment="1" applyProtection="1">
      <alignment horizontal="center"/>
      <protection/>
    </xf>
    <xf numFmtId="169" fontId="4" fillId="0" borderId="23" xfId="0" applyNumberFormat="1" applyFont="1" applyBorder="1" applyAlignment="1" applyProtection="1">
      <alignment horizontal="center"/>
      <protection/>
    </xf>
    <xf numFmtId="169" fontId="4" fillId="0" borderId="24" xfId="0" applyNumberFormat="1" applyFont="1" applyBorder="1" applyAlignment="1" applyProtection="1">
      <alignment horizontal="center"/>
      <protection/>
    </xf>
    <xf numFmtId="170" fontId="4" fillId="0" borderId="26" xfId="0" applyNumberFormat="1" applyFont="1" applyBorder="1" applyAlignment="1" applyProtection="1">
      <alignment horizontal="center"/>
      <protection/>
    </xf>
    <xf numFmtId="170" fontId="4" fillId="0" borderId="25" xfId="0" applyNumberFormat="1" applyFont="1" applyBorder="1" applyAlignment="1" applyProtection="1">
      <alignment horizontal="center"/>
      <protection/>
    </xf>
    <xf numFmtId="182" fontId="16" fillId="0" borderId="15" xfId="0" applyNumberFormat="1" applyFont="1" applyFill="1" applyBorder="1" applyAlignment="1" applyProtection="1">
      <alignment horizontal="center"/>
      <protection locked="0"/>
    </xf>
    <xf numFmtId="2" fontId="16" fillId="0" borderId="15" xfId="0" applyNumberFormat="1" applyFont="1" applyFill="1" applyBorder="1" applyAlignment="1" applyProtection="1">
      <alignment horizontal="center"/>
      <protection locked="0"/>
    </xf>
    <xf numFmtId="0" fontId="16" fillId="0" borderId="15" xfId="0" applyFont="1" applyFill="1" applyBorder="1" applyAlignment="1" applyProtection="1">
      <alignment horizontal="center"/>
      <protection locked="0"/>
    </xf>
    <xf numFmtId="0" fontId="16" fillId="0" borderId="14" xfId="0" applyFont="1" applyFill="1" applyBorder="1" applyAlignment="1" applyProtection="1">
      <alignment horizontal="center"/>
      <protection locked="0"/>
    </xf>
    <xf numFmtId="170" fontId="0" fillId="0" borderId="0" xfId="0" applyNumberFormat="1" applyFont="1" applyBorder="1" applyAlignment="1" applyProtection="1">
      <alignment horizontal="center"/>
      <protection/>
    </xf>
    <xf numFmtId="0" fontId="36" fillId="0" borderId="0" xfId="57">
      <alignment/>
      <protection/>
    </xf>
    <xf numFmtId="0" fontId="33" fillId="0" borderId="0" xfId="57" applyFont="1">
      <alignment/>
      <protection/>
    </xf>
    <xf numFmtId="0" fontId="4" fillId="0" borderId="0" xfId="57" applyFont="1">
      <alignment/>
      <protection/>
    </xf>
    <xf numFmtId="0" fontId="36" fillId="0" borderId="0" xfId="57" applyAlignment="1">
      <alignment horizontal="center"/>
      <protection/>
    </xf>
    <xf numFmtId="0" fontId="36" fillId="0" borderId="16" xfId="57" applyBorder="1" applyAlignment="1">
      <alignment horizontal="center"/>
      <protection/>
    </xf>
    <xf numFmtId="0" fontId="36" fillId="0" borderId="17" xfId="57" applyBorder="1">
      <alignment/>
      <protection/>
    </xf>
    <xf numFmtId="0" fontId="36" fillId="0" borderId="45" xfId="57" applyBorder="1">
      <alignment/>
      <protection/>
    </xf>
    <xf numFmtId="0" fontId="36" fillId="0" borderId="46" xfId="57" applyBorder="1">
      <alignment/>
      <protection/>
    </xf>
    <xf numFmtId="0" fontId="33" fillId="0" borderId="0" xfId="57" applyFont="1">
      <alignment/>
      <protection/>
    </xf>
    <xf numFmtId="0" fontId="1" fillId="0" borderId="0" xfId="57" applyFont="1" applyBorder="1" applyAlignment="1">
      <alignment horizontal="center" vertical="center"/>
      <protection/>
    </xf>
    <xf numFmtId="0" fontId="36" fillId="0" borderId="15" xfId="57" applyBorder="1" applyAlignment="1">
      <alignment horizontal="center"/>
      <protection/>
    </xf>
    <xf numFmtId="0" fontId="35" fillId="0" borderId="45" xfId="57" applyFont="1" applyBorder="1">
      <alignment/>
      <protection/>
    </xf>
    <xf numFmtId="0" fontId="36" fillId="0" borderId="14" xfId="57" applyBorder="1" applyAlignment="1">
      <alignment horizontal="center"/>
      <protection/>
    </xf>
    <xf numFmtId="0" fontId="1" fillId="19" borderId="14" xfId="57" applyFont="1" applyFill="1" applyBorder="1" applyAlignment="1">
      <alignment horizontal="center" vertical="center"/>
      <protection/>
    </xf>
    <xf numFmtId="0" fontId="1" fillId="16" borderId="14" xfId="57" applyFont="1" applyFill="1" applyBorder="1" applyAlignment="1">
      <alignment horizontal="center" vertical="center"/>
      <protection/>
    </xf>
    <xf numFmtId="0" fontId="1" fillId="8" borderId="14" xfId="57" applyFont="1" applyFill="1" applyBorder="1" applyAlignment="1">
      <alignment horizontal="center" vertical="center"/>
      <protection/>
    </xf>
    <xf numFmtId="0" fontId="36" fillId="0" borderId="18" xfId="57" applyBorder="1">
      <alignment/>
      <protection/>
    </xf>
    <xf numFmtId="0" fontId="36" fillId="0" borderId="14" xfId="57" applyBorder="1">
      <alignment/>
      <protection/>
    </xf>
    <xf numFmtId="0" fontId="36" fillId="0" borderId="27" xfId="57" applyBorder="1">
      <alignment/>
      <protection/>
    </xf>
    <xf numFmtId="2" fontId="36" fillId="0" borderId="22" xfId="57" applyNumberFormat="1" applyBorder="1" applyAlignment="1">
      <alignment horizontal="center"/>
      <protection/>
    </xf>
    <xf numFmtId="2" fontId="36" fillId="0" borderId="24" xfId="57" applyNumberFormat="1" applyBorder="1" applyAlignment="1">
      <alignment horizontal="center"/>
      <protection/>
    </xf>
    <xf numFmtId="0" fontId="36" fillId="0" borderId="0" xfId="57" applyFont="1" applyBorder="1" applyAlignment="1">
      <alignment horizontal="center" vertical="center"/>
      <protection/>
    </xf>
    <xf numFmtId="0" fontId="36" fillId="0" borderId="0" xfId="57" applyFont="1" applyBorder="1">
      <alignment/>
      <protection/>
    </xf>
    <xf numFmtId="0" fontId="36" fillId="0" borderId="0" xfId="57" applyFont="1" applyFill="1" applyBorder="1" applyAlignment="1" quotePrefix="1">
      <alignment horizontal="center" vertical="center"/>
      <protection/>
    </xf>
    <xf numFmtId="0" fontId="56" fillId="0" borderId="0" xfId="57" applyFont="1" applyBorder="1" applyAlignment="1">
      <alignment horizontal="center" wrapText="1"/>
      <protection/>
    </xf>
    <xf numFmtId="0" fontId="36" fillId="0" borderId="0" xfId="57" applyBorder="1">
      <alignment/>
      <protection/>
    </xf>
    <xf numFmtId="0" fontId="36" fillId="0" borderId="19" xfId="57" applyBorder="1" applyAlignment="1">
      <alignment horizontal="center"/>
      <protection/>
    </xf>
    <xf numFmtId="170" fontId="36" fillId="0" borderId="26" xfId="57" applyNumberFormat="1" applyBorder="1" applyAlignment="1">
      <alignment horizontal="center"/>
      <protection/>
    </xf>
    <xf numFmtId="170" fontId="36" fillId="0" borderId="25" xfId="57" applyNumberFormat="1" applyBorder="1" applyAlignment="1">
      <alignment horizontal="center"/>
      <protection/>
    </xf>
    <xf numFmtId="0" fontId="36" fillId="0" borderId="0" xfId="57" applyFont="1" applyFill="1" applyBorder="1" applyAlignment="1">
      <alignment horizontal="center" vertical="center"/>
      <protection/>
    </xf>
    <xf numFmtId="0" fontId="36" fillId="0" borderId="0" xfId="57" applyFont="1" applyFill="1" applyBorder="1" applyAlignment="1">
      <alignment horizontal="center" vertical="center" wrapText="1"/>
      <protection/>
    </xf>
    <xf numFmtId="3" fontId="56" fillId="0" borderId="0" xfId="57" applyNumberFormat="1" applyFont="1" applyBorder="1" applyAlignment="1">
      <alignment horizontal="center" wrapText="1"/>
      <protection/>
    </xf>
    <xf numFmtId="0" fontId="36" fillId="0" borderId="0" xfId="57" applyFont="1" applyFill="1" applyBorder="1" applyAlignment="1">
      <alignment horizontal="left" vertical="center" wrapText="1"/>
      <protection/>
    </xf>
    <xf numFmtId="0" fontId="35" fillId="0" borderId="18" xfId="57" applyFont="1" applyBorder="1">
      <alignment/>
      <protection/>
    </xf>
    <xf numFmtId="0" fontId="36" fillId="0" borderId="27" xfId="57" applyBorder="1" applyAlignment="1">
      <alignment horizontal="center"/>
      <protection/>
    </xf>
    <xf numFmtId="3" fontId="36" fillId="0" borderId="28" xfId="57" applyNumberFormat="1" applyBorder="1" applyAlignment="1">
      <alignment horizontal="center"/>
      <protection/>
    </xf>
    <xf numFmtId="10" fontId="36" fillId="0" borderId="26" xfId="57" applyNumberFormat="1" applyBorder="1" applyAlignment="1">
      <alignment horizontal="center"/>
      <protection/>
    </xf>
    <xf numFmtId="10" fontId="36" fillId="0" borderId="25" xfId="57" applyNumberFormat="1" applyBorder="1" applyAlignment="1">
      <alignment horizontal="center"/>
      <protection/>
    </xf>
    <xf numFmtId="9" fontId="56" fillId="0" borderId="0" xfId="57" applyNumberFormat="1" applyFont="1" applyBorder="1" applyAlignment="1">
      <alignment horizontal="center" wrapText="1"/>
      <protection/>
    </xf>
    <xf numFmtId="2" fontId="36" fillId="0" borderId="26" xfId="57" applyNumberFormat="1" applyBorder="1" applyAlignment="1">
      <alignment horizontal="center"/>
      <protection/>
    </xf>
    <xf numFmtId="2" fontId="36" fillId="0" borderId="25" xfId="57" applyNumberFormat="1" applyBorder="1" applyAlignment="1">
      <alignment horizontal="center"/>
      <protection/>
    </xf>
    <xf numFmtId="0" fontId="36" fillId="0" borderId="0" xfId="57" applyFont="1" applyBorder="1" applyAlignment="1">
      <alignment horizontal="center"/>
      <protection/>
    </xf>
    <xf numFmtId="0" fontId="36" fillId="0" borderId="0" xfId="57" applyFont="1">
      <alignment/>
      <protection/>
    </xf>
    <xf numFmtId="0" fontId="36" fillId="0" borderId="26" xfId="57" applyBorder="1" applyAlignment="1">
      <alignment horizontal="center"/>
      <protection/>
    </xf>
    <xf numFmtId="3" fontId="36" fillId="0" borderId="25" xfId="57" applyNumberFormat="1" applyBorder="1" applyAlignment="1">
      <alignment horizontal="center"/>
      <protection/>
    </xf>
    <xf numFmtId="6" fontId="36" fillId="0" borderId="19" xfId="57" applyNumberFormat="1" applyBorder="1" applyAlignment="1">
      <alignment horizontal="center"/>
      <protection/>
    </xf>
    <xf numFmtId="0" fontId="36" fillId="0" borderId="28" xfId="57" applyBorder="1" applyAlignment="1">
      <alignment horizontal="center"/>
      <protection/>
    </xf>
    <xf numFmtId="10" fontId="56" fillId="0" borderId="0" xfId="57" applyNumberFormat="1" applyFont="1" applyBorder="1" applyAlignment="1">
      <alignment horizontal="center" wrapText="1"/>
      <protection/>
    </xf>
    <xf numFmtId="10" fontId="36" fillId="0" borderId="19" xfId="57" applyNumberFormat="1" applyBorder="1" applyAlignment="1">
      <alignment horizontal="center"/>
      <protection/>
    </xf>
    <xf numFmtId="183" fontId="36" fillId="0" borderId="25" xfId="57" applyNumberFormat="1" applyBorder="1" applyAlignment="1">
      <alignment horizontal="center"/>
      <protection/>
    </xf>
    <xf numFmtId="10" fontId="36" fillId="0" borderId="28" xfId="57" applyNumberFormat="1" applyBorder="1" applyAlignment="1">
      <alignment horizontal="center"/>
      <protection/>
    </xf>
    <xf numFmtId="0" fontId="36" fillId="0" borderId="18" xfId="57" applyFont="1" applyBorder="1">
      <alignment/>
      <protection/>
    </xf>
    <xf numFmtId="0" fontId="36" fillId="0" borderId="18" xfId="57" applyFont="1" applyFill="1" applyBorder="1" applyAlignment="1" quotePrefix="1">
      <alignment horizontal="center" vertical="center"/>
      <protection/>
    </xf>
    <xf numFmtId="10" fontId="56" fillId="0" borderId="18" xfId="57" applyNumberFormat="1" applyFont="1" applyBorder="1" applyAlignment="1">
      <alignment horizontal="center" wrapText="1"/>
      <protection/>
    </xf>
    <xf numFmtId="0" fontId="57" fillId="0" borderId="0" xfId="57" applyFont="1" applyFill="1" applyBorder="1">
      <alignment/>
      <protection/>
    </xf>
    <xf numFmtId="0" fontId="57" fillId="0" borderId="0" xfId="57" applyFont="1">
      <alignment/>
      <protection/>
    </xf>
    <xf numFmtId="0" fontId="36" fillId="0" borderId="0" xfId="57" applyBorder="1" applyAlignment="1">
      <alignment horizontal="center"/>
      <protection/>
    </xf>
    <xf numFmtId="10" fontId="36" fillId="0" borderId="0" xfId="57" applyNumberFormat="1" applyBorder="1" applyAlignment="1">
      <alignment horizontal="center"/>
      <protection/>
    </xf>
    <xf numFmtId="0" fontId="35" fillId="0" borderId="0" xfId="57" applyFont="1">
      <alignment/>
      <protection/>
    </xf>
    <xf numFmtId="184" fontId="9" fillId="0" borderId="0" xfId="0" applyNumberFormat="1" applyFont="1" applyAlignment="1" applyProtection="1">
      <alignment/>
      <protection/>
    </xf>
    <xf numFmtId="167" fontId="9" fillId="0" borderId="18" xfId="0" applyNumberFormat="1" applyFont="1" applyBorder="1" applyAlignment="1" applyProtection="1">
      <alignment/>
      <protection/>
    </xf>
    <xf numFmtId="0" fontId="36" fillId="0" borderId="0" xfId="57" applyFont="1">
      <alignment/>
      <protection/>
    </xf>
    <xf numFmtId="165" fontId="10" fillId="0" borderId="18" xfId="0" applyNumberFormat="1" applyFont="1" applyBorder="1" applyAlignment="1" applyProtection="1">
      <alignment/>
      <protection/>
    </xf>
    <xf numFmtId="38" fontId="0" fillId="0" borderId="0" xfId="0" applyNumberFormat="1" applyAlignment="1" applyProtection="1">
      <alignment/>
      <protection/>
    </xf>
    <xf numFmtId="38" fontId="0" fillId="0" borderId="18" xfId="0" applyNumberFormat="1" applyBorder="1" applyAlignment="1" applyProtection="1">
      <alignment/>
      <protection/>
    </xf>
    <xf numFmtId="165" fontId="28" fillId="15" borderId="0" xfId="0" applyNumberFormat="1" applyFont="1" applyFill="1" applyAlignment="1" applyProtection="1">
      <alignment horizontal="left"/>
      <protection/>
    </xf>
    <xf numFmtId="165" fontId="33" fillId="0" borderId="0" xfId="0" applyNumberFormat="1" applyFont="1" applyAlignment="1" applyProtection="1">
      <alignment horizontal="left"/>
      <protection/>
    </xf>
    <xf numFmtId="0" fontId="0" fillId="0" borderId="0" xfId="0" applyFont="1" applyAlignment="1">
      <alignment/>
    </xf>
    <xf numFmtId="165" fontId="43" fillId="0" borderId="0" xfId="0" applyNumberFormat="1" applyFont="1" applyAlignment="1" applyProtection="1">
      <alignment/>
      <protection/>
    </xf>
    <xf numFmtId="166" fontId="33" fillId="0" borderId="0" xfId="0" applyNumberFormat="1" applyFont="1" applyAlignment="1">
      <alignment/>
    </xf>
    <xf numFmtId="5" fontId="33" fillId="0" borderId="0" xfId="0" applyNumberFormat="1" applyFont="1" applyAlignment="1">
      <alignment/>
    </xf>
    <xf numFmtId="0" fontId="33" fillId="0" borderId="0" xfId="0" applyFont="1" applyAlignment="1">
      <alignment/>
    </xf>
    <xf numFmtId="10" fontId="33" fillId="0" borderId="0" xfId="0" applyNumberFormat="1" applyFont="1" applyAlignment="1">
      <alignment/>
    </xf>
    <xf numFmtId="0" fontId="0" fillId="15" borderId="0" xfId="0" applyFont="1" applyFill="1" applyAlignment="1">
      <alignment/>
    </xf>
    <xf numFmtId="0" fontId="33" fillId="15" borderId="0" xfId="0" applyFont="1" applyFill="1" applyAlignment="1">
      <alignment/>
    </xf>
    <xf numFmtId="0" fontId="0" fillId="15" borderId="14" xfId="0" applyFill="1" applyBorder="1" applyAlignment="1">
      <alignment horizontal="center"/>
    </xf>
    <xf numFmtId="0" fontId="4" fillId="15" borderId="14" xfId="0" applyFont="1" applyFill="1" applyBorder="1" applyAlignment="1">
      <alignment horizontal="center"/>
    </xf>
    <xf numFmtId="37" fontId="10" fillId="0" borderId="18" xfId="0" applyNumberFormat="1" applyFont="1" applyBorder="1" applyAlignment="1" applyProtection="1">
      <alignment/>
      <protection/>
    </xf>
    <xf numFmtId="165" fontId="10" fillId="0" borderId="47" xfId="0" applyNumberFormat="1" applyFont="1" applyBorder="1" applyAlignment="1" applyProtection="1">
      <alignment/>
      <protection/>
    </xf>
    <xf numFmtId="165" fontId="10" fillId="0" borderId="0" xfId="0" applyNumberFormat="1" applyFont="1" applyBorder="1" applyAlignment="1" applyProtection="1">
      <alignment/>
      <protection/>
    </xf>
    <xf numFmtId="165" fontId="10" fillId="0" borderId="48" xfId="0" applyNumberFormat="1" applyFont="1" applyBorder="1" applyAlignment="1" applyProtection="1">
      <alignment/>
      <protection/>
    </xf>
    <xf numFmtId="165" fontId="10" fillId="0" borderId="28" xfId="0" applyNumberFormat="1" applyFont="1" applyBorder="1" applyAlignment="1" applyProtection="1">
      <alignment/>
      <protection/>
    </xf>
    <xf numFmtId="165" fontId="10" fillId="0" borderId="25" xfId="0" applyNumberFormat="1" applyFont="1" applyBorder="1" applyAlignment="1" applyProtection="1">
      <alignment/>
      <protection/>
    </xf>
    <xf numFmtId="165" fontId="10" fillId="0" borderId="17" xfId="0" applyNumberFormat="1" applyFont="1" applyBorder="1" applyAlignment="1" applyProtection="1">
      <alignment horizontal="centerContinuous"/>
      <protection/>
    </xf>
    <xf numFmtId="165" fontId="10" fillId="0" borderId="46" xfId="0" applyNumberFormat="1" applyFont="1" applyBorder="1" applyAlignment="1" applyProtection="1">
      <alignment horizontal="centerContinuous"/>
      <protection/>
    </xf>
    <xf numFmtId="165" fontId="10" fillId="0" borderId="45" xfId="0" applyNumberFormat="1" applyFont="1" applyBorder="1" applyAlignment="1" applyProtection="1">
      <alignment horizontal="centerContinuous"/>
      <protection/>
    </xf>
    <xf numFmtId="37" fontId="10" fillId="0" borderId="0" xfId="0" applyNumberFormat="1" applyFont="1" applyBorder="1" applyAlignment="1" applyProtection="1">
      <alignment/>
      <protection/>
    </xf>
    <xf numFmtId="5" fontId="10" fillId="0" borderId="0" xfId="0" applyNumberFormat="1" applyFont="1" applyBorder="1" applyAlignment="1" applyProtection="1">
      <alignment/>
      <protection/>
    </xf>
    <xf numFmtId="165" fontId="9" fillId="0" borderId="25" xfId="0" applyNumberFormat="1" applyFont="1" applyBorder="1" applyAlignment="1" applyProtection="1">
      <alignment/>
      <protection/>
    </xf>
    <xf numFmtId="166" fontId="9" fillId="0" borderId="25" xfId="0" applyNumberFormat="1" applyFont="1" applyBorder="1" applyAlignment="1" applyProtection="1">
      <alignment/>
      <protection/>
    </xf>
    <xf numFmtId="5" fontId="9" fillId="0" borderId="25" xfId="0" applyNumberFormat="1" applyFont="1" applyBorder="1" applyAlignment="1" applyProtection="1">
      <alignment/>
      <protection/>
    </xf>
    <xf numFmtId="10" fontId="9" fillId="0" borderId="25" xfId="0" applyNumberFormat="1" applyFont="1" applyBorder="1" applyAlignment="1" applyProtection="1">
      <alignment/>
      <protection/>
    </xf>
    <xf numFmtId="10" fontId="33" fillId="15" borderId="0" xfId="0" applyNumberFormat="1" applyFont="1" applyFill="1" applyAlignment="1">
      <alignment horizontal="right"/>
    </xf>
    <xf numFmtId="166" fontId="33" fillId="0" borderId="18" xfId="0" applyNumberFormat="1" applyFont="1" applyBorder="1" applyAlignment="1">
      <alignment/>
    </xf>
    <xf numFmtId="177" fontId="33" fillId="0" borderId="0" xfId="0" applyNumberFormat="1" applyFont="1" applyAlignment="1">
      <alignment/>
    </xf>
    <xf numFmtId="169" fontId="16" fillId="0" borderId="14" xfId="0" applyNumberFormat="1" applyFont="1" applyFill="1" applyBorder="1" applyAlignment="1" applyProtection="1">
      <alignment horizontal="center"/>
      <protection locked="0"/>
    </xf>
    <xf numFmtId="165" fontId="58" fillId="0" borderId="0" xfId="0" applyNumberFormat="1" applyFont="1" applyFill="1" applyAlignment="1" applyProtection="1">
      <alignment/>
      <protection/>
    </xf>
    <xf numFmtId="165" fontId="58" fillId="0" borderId="16" xfId="0" applyNumberFormat="1" applyFont="1" applyBorder="1" applyAlignment="1" applyProtection="1">
      <alignment horizontal="center"/>
      <protection/>
    </xf>
    <xf numFmtId="165" fontId="58" fillId="0" borderId="0" xfId="0" applyNumberFormat="1" applyFont="1" applyAlignment="1" applyProtection="1">
      <alignment/>
      <protection/>
    </xf>
    <xf numFmtId="0" fontId="58" fillId="0" borderId="0" xfId="0" applyFont="1" applyBorder="1" applyAlignment="1" applyProtection="1">
      <alignment/>
      <protection/>
    </xf>
    <xf numFmtId="165" fontId="58" fillId="15" borderId="0" xfId="0" applyNumberFormat="1" applyFont="1" applyFill="1" applyAlignment="1" applyProtection="1">
      <alignment horizontal="center"/>
      <protection/>
    </xf>
    <xf numFmtId="37" fontId="60" fillId="0" borderId="16" xfId="0" applyNumberFormat="1" applyFont="1" applyBorder="1" applyAlignment="1" applyProtection="1">
      <alignment/>
      <protection locked="0"/>
    </xf>
    <xf numFmtId="37" fontId="59" fillId="3" borderId="16" xfId="0" applyNumberFormat="1" applyFont="1" applyFill="1" applyBorder="1" applyAlignment="1" applyProtection="1">
      <alignment/>
      <protection/>
    </xf>
    <xf numFmtId="165" fontId="58" fillId="0" borderId="0" xfId="0" applyNumberFormat="1" applyFont="1" applyBorder="1" applyAlignment="1" applyProtection="1">
      <alignment/>
      <protection/>
    </xf>
    <xf numFmtId="5" fontId="59" fillId="3" borderId="16" xfId="0" applyNumberFormat="1" applyFont="1" applyFill="1" applyBorder="1" applyAlignment="1" applyProtection="1">
      <alignment/>
      <protection/>
    </xf>
    <xf numFmtId="165" fontId="59" fillId="0" borderId="26" xfId="0" applyNumberFormat="1" applyFont="1" applyBorder="1" applyAlignment="1" applyProtection="1">
      <alignment horizontal="left"/>
      <protection/>
    </xf>
    <xf numFmtId="37" fontId="60" fillId="0" borderId="19" xfId="0" applyNumberFormat="1" applyFont="1" applyBorder="1" applyAlignment="1" applyProtection="1">
      <alignment/>
      <protection locked="0"/>
    </xf>
    <xf numFmtId="37" fontId="59" fillId="3" borderId="19" xfId="0" applyNumberFormat="1" applyFont="1" applyFill="1" applyBorder="1" applyAlignment="1" applyProtection="1">
      <alignment/>
      <protection/>
    </xf>
    <xf numFmtId="38" fontId="59" fillId="3" borderId="19" xfId="0" applyNumberFormat="1" applyFont="1" applyFill="1" applyBorder="1" applyAlignment="1" applyProtection="1">
      <alignment/>
      <protection/>
    </xf>
    <xf numFmtId="0" fontId="59" fillId="0" borderId="26" xfId="0" applyFont="1" applyBorder="1" applyAlignment="1" applyProtection="1">
      <alignment/>
      <protection/>
    </xf>
    <xf numFmtId="0" fontId="59" fillId="0" borderId="0" xfId="0" applyFont="1" applyBorder="1" applyAlignment="1" applyProtection="1">
      <alignment/>
      <protection/>
    </xf>
    <xf numFmtId="38" fontId="59" fillId="3" borderId="15" xfId="0" applyNumberFormat="1" applyFont="1" applyFill="1" applyBorder="1" applyAlignment="1" applyProtection="1">
      <alignment/>
      <protection/>
    </xf>
    <xf numFmtId="165" fontId="58" fillId="0" borderId="26" xfId="0" applyNumberFormat="1" applyFont="1" applyBorder="1" applyAlignment="1" applyProtection="1">
      <alignment/>
      <protection/>
    </xf>
    <xf numFmtId="5" fontId="59" fillId="3" borderId="19" xfId="0" applyNumberFormat="1" applyFont="1" applyFill="1" applyBorder="1" applyAlignment="1" applyProtection="1">
      <alignment/>
      <protection/>
    </xf>
    <xf numFmtId="165" fontId="59" fillId="15" borderId="19" xfId="0" applyNumberFormat="1" applyFont="1" applyFill="1" applyBorder="1" applyAlignment="1" applyProtection="1">
      <alignment horizontal="center"/>
      <protection/>
    </xf>
    <xf numFmtId="165" fontId="58" fillId="0" borderId="17" xfId="0" applyNumberFormat="1" applyFont="1" applyBorder="1" applyAlignment="1" applyProtection="1">
      <alignment horizontal="left"/>
      <protection/>
    </xf>
    <xf numFmtId="37" fontId="59" fillId="20" borderId="14" xfId="0" applyNumberFormat="1" applyFont="1" applyFill="1" applyBorder="1" applyAlignment="1" applyProtection="1">
      <alignment/>
      <protection/>
    </xf>
    <xf numFmtId="37" fontId="59" fillId="3" borderId="14" xfId="0" applyNumberFormat="1" applyFont="1" applyFill="1" applyBorder="1" applyAlignment="1" applyProtection="1">
      <alignment/>
      <protection/>
    </xf>
    <xf numFmtId="37" fontId="59" fillId="3" borderId="15" xfId="0" applyNumberFormat="1" applyFont="1" applyFill="1" applyBorder="1" applyAlignment="1" applyProtection="1">
      <alignment/>
      <protection/>
    </xf>
    <xf numFmtId="0" fontId="58" fillId="0" borderId="0" xfId="0" applyFont="1" applyAlignment="1" applyProtection="1">
      <alignment/>
      <protection/>
    </xf>
    <xf numFmtId="165" fontId="58" fillId="0" borderId="27" xfId="0" applyNumberFormat="1" applyFont="1" applyBorder="1" applyAlignment="1" applyProtection="1">
      <alignment horizontal="left"/>
      <protection/>
    </xf>
    <xf numFmtId="37" fontId="59" fillId="3" borderId="15" xfId="0" applyNumberFormat="1" applyFont="1" applyFill="1" applyBorder="1" applyAlignment="1" applyProtection="1">
      <alignment horizontal="center"/>
      <protection/>
    </xf>
    <xf numFmtId="37" fontId="58" fillId="4" borderId="0" xfId="0" applyNumberFormat="1" applyFont="1" applyFill="1" applyBorder="1" applyAlignment="1" applyProtection="1">
      <alignment/>
      <protection/>
    </xf>
    <xf numFmtId="165" fontId="58" fillId="4" borderId="0" xfId="0" applyNumberFormat="1" applyFont="1" applyFill="1" applyBorder="1" applyAlignment="1" applyProtection="1">
      <alignment horizontal="left"/>
      <protection/>
    </xf>
    <xf numFmtId="165" fontId="58" fillId="4" borderId="0" xfId="0" applyNumberFormat="1" applyFont="1" applyFill="1" applyBorder="1" applyAlignment="1" applyProtection="1">
      <alignment/>
      <protection/>
    </xf>
    <xf numFmtId="37" fontId="58" fillId="4" borderId="0" xfId="0" applyNumberFormat="1" applyFont="1" applyFill="1" applyBorder="1" applyAlignment="1" applyProtection="1">
      <alignment horizontal="right"/>
      <protection/>
    </xf>
    <xf numFmtId="0" fontId="59" fillId="0" borderId="0" xfId="0" applyFont="1" applyAlignment="1" applyProtection="1">
      <alignment/>
      <protection/>
    </xf>
    <xf numFmtId="37" fontId="59" fillId="20" borderId="19" xfId="0" applyNumberFormat="1" applyFont="1" applyFill="1" applyBorder="1" applyAlignment="1" applyProtection="1">
      <alignment/>
      <protection/>
    </xf>
    <xf numFmtId="37" fontId="59" fillId="3" borderId="23" xfId="0" applyNumberFormat="1" applyFont="1" applyFill="1" applyBorder="1" applyAlignment="1" applyProtection="1">
      <alignment/>
      <protection/>
    </xf>
    <xf numFmtId="37" fontId="59" fillId="3" borderId="0" xfId="0" applyNumberFormat="1" applyFont="1" applyFill="1" applyBorder="1" applyAlignment="1" applyProtection="1">
      <alignment/>
      <protection/>
    </xf>
    <xf numFmtId="37" fontId="63" fillId="0" borderId="19" xfId="0" applyNumberFormat="1" applyFont="1" applyBorder="1" applyAlignment="1" applyProtection="1">
      <alignment/>
      <protection locked="0"/>
    </xf>
    <xf numFmtId="37" fontId="60" fillId="0" borderId="0" xfId="0" applyNumberFormat="1" applyFont="1" applyBorder="1" applyAlignment="1" applyProtection="1">
      <alignment/>
      <protection locked="0"/>
    </xf>
    <xf numFmtId="9" fontId="58" fillId="0" borderId="17" xfId="0" applyNumberFormat="1" applyFont="1" applyBorder="1" applyAlignment="1" applyProtection="1">
      <alignment horizontal="center"/>
      <protection/>
    </xf>
    <xf numFmtId="5" fontId="59" fillId="3" borderId="15" xfId="0" applyNumberFormat="1" applyFont="1" applyFill="1" applyBorder="1" applyAlignment="1" applyProtection="1">
      <alignment/>
      <protection/>
    </xf>
    <xf numFmtId="9" fontId="60" fillId="0" borderId="14" xfId="0" applyNumberFormat="1" applyFont="1" applyBorder="1" applyAlignment="1" applyProtection="1">
      <alignment horizontal="center"/>
      <protection locked="0"/>
    </xf>
    <xf numFmtId="37" fontId="63" fillId="20" borderId="0" xfId="0" applyNumberFormat="1" applyFont="1" applyFill="1" applyBorder="1" applyAlignment="1" applyProtection="1">
      <alignment/>
      <protection/>
    </xf>
    <xf numFmtId="0" fontId="59" fillId="0" borderId="26" xfId="0" applyFont="1" applyBorder="1" applyAlignment="1" applyProtection="1">
      <alignment horizontal="left"/>
      <protection/>
    </xf>
    <xf numFmtId="37" fontId="59" fillId="0" borderId="0" xfId="0" applyNumberFormat="1" applyFont="1" applyBorder="1" applyAlignment="1" applyProtection="1">
      <alignment/>
      <protection/>
    </xf>
    <xf numFmtId="165" fontId="58" fillId="0" borderId="18" xfId="0" applyNumberFormat="1" applyFont="1" applyBorder="1" applyAlignment="1" applyProtection="1">
      <alignment/>
      <protection/>
    </xf>
    <xf numFmtId="5" fontId="59" fillId="3" borderId="14" xfId="0" applyNumberFormat="1" applyFont="1" applyFill="1" applyBorder="1" applyAlignment="1" applyProtection="1">
      <alignment/>
      <protection/>
    </xf>
    <xf numFmtId="165" fontId="64" fillId="0" borderId="0" xfId="0" applyNumberFormat="1" applyFont="1" applyAlignment="1" applyProtection="1">
      <alignment horizontal="left"/>
      <protection/>
    </xf>
    <xf numFmtId="0" fontId="58" fillId="0" borderId="0" xfId="0" applyFont="1" applyBorder="1" applyAlignment="1" applyProtection="1">
      <alignment horizontal="right"/>
      <protection/>
    </xf>
    <xf numFmtId="170" fontId="60" fillId="0" borderId="19" xfId="0" applyNumberFormat="1" applyFont="1" applyBorder="1" applyAlignment="1" applyProtection="1">
      <alignment horizontal="right"/>
      <protection locked="0"/>
    </xf>
    <xf numFmtId="37" fontId="58" fillId="0" borderId="0" xfId="0" applyNumberFormat="1" applyFont="1" applyAlignment="1" applyProtection="1">
      <alignment/>
      <protection/>
    </xf>
    <xf numFmtId="0" fontId="58" fillId="4" borderId="0" xfId="0" applyFont="1" applyFill="1" applyBorder="1" applyAlignment="1" applyProtection="1">
      <alignment/>
      <protection/>
    </xf>
    <xf numFmtId="165" fontId="58" fillId="0" borderId="45" xfId="0" applyNumberFormat="1" applyFont="1" applyBorder="1" applyAlignment="1" applyProtection="1">
      <alignment/>
      <protection/>
    </xf>
    <xf numFmtId="0" fontId="59" fillId="0" borderId="27" xfId="0" applyFont="1" applyBorder="1" applyAlignment="1">
      <alignment/>
    </xf>
    <xf numFmtId="165" fontId="64" fillId="0" borderId="0" xfId="0" applyNumberFormat="1" applyFont="1" applyFill="1" applyAlignment="1" applyProtection="1">
      <alignment horizontal="left"/>
      <protection/>
    </xf>
    <xf numFmtId="165" fontId="59" fillId="0" borderId="16" xfId="0" applyNumberFormat="1" applyFont="1" applyBorder="1" applyAlignment="1" applyProtection="1">
      <alignment horizontal="center"/>
      <protection/>
    </xf>
    <xf numFmtId="165" fontId="59" fillId="0" borderId="19" xfId="0" applyNumberFormat="1" applyFont="1" applyBorder="1" applyAlignment="1" applyProtection="1">
      <alignment horizontal="center"/>
      <protection/>
    </xf>
    <xf numFmtId="165" fontId="59" fillId="0" borderId="19" xfId="0" applyNumberFormat="1" applyFont="1" applyFill="1" applyBorder="1" applyAlignment="1" applyProtection="1">
      <alignment horizontal="center"/>
      <protection/>
    </xf>
    <xf numFmtId="165" fontId="59" fillId="0" borderId="15" xfId="0" applyNumberFormat="1" applyFont="1" applyBorder="1" applyAlignment="1" applyProtection="1">
      <alignment horizontal="center"/>
      <protection/>
    </xf>
    <xf numFmtId="165" fontId="59" fillId="0" borderId="18" xfId="0" applyNumberFormat="1" applyFont="1" applyBorder="1" applyAlignment="1" applyProtection="1">
      <alignment horizontal="center"/>
      <protection/>
    </xf>
    <xf numFmtId="165" fontId="59" fillId="0" borderId="28" xfId="0" applyNumberFormat="1" applyFont="1" applyBorder="1" applyAlignment="1" applyProtection="1">
      <alignment horizontal="center"/>
      <protection/>
    </xf>
    <xf numFmtId="165" fontId="59" fillId="18" borderId="49" xfId="0" applyNumberFormat="1" applyFont="1" applyFill="1" applyBorder="1" applyAlignment="1" applyProtection="1">
      <alignment horizontal="right"/>
      <protection/>
    </xf>
    <xf numFmtId="0" fontId="28" fillId="0" borderId="0" xfId="0" applyFont="1" applyAlignment="1">
      <alignment/>
    </xf>
    <xf numFmtId="165" fontId="28" fillId="0" borderId="0" xfId="0" applyNumberFormat="1" applyFont="1" applyAlignment="1" applyProtection="1">
      <alignment horizontal="left"/>
      <protection/>
    </xf>
    <xf numFmtId="0" fontId="65" fillId="0" borderId="0" xfId="53" applyFont="1" applyAlignment="1" applyProtection="1">
      <alignment/>
      <protection/>
    </xf>
    <xf numFmtId="0" fontId="35" fillId="0" borderId="0" xfId="60" applyFont="1">
      <alignment/>
      <protection/>
    </xf>
    <xf numFmtId="0" fontId="36" fillId="0" borderId="0" xfId="60">
      <alignment/>
      <protection/>
    </xf>
    <xf numFmtId="0" fontId="36" fillId="16" borderId="0" xfId="60" applyFill="1">
      <alignment/>
      <protection/>
    </xf>
    <xf numFmtId="165" fontId="5" fillId="0" borderId="0" xfId="0" applyNumberFormat="1" applyFont="1" applyBorder="1" applyAlignment="1" applyProtection="1">
      <alignment horizontal="center"/>
      <protection/>
    </xf>
    <xf numFmtId="0" fontId="33" fillId="0" borderId="0" xfId="60" applyFont="1">
      <alignment/>
      <protection/>
    </xf>
    <xf numFmtId="0" fontId="36" fillId="0" borderId="0" xfId="60" applyAlignment="1">
      <alignment horizontal="center"/>
      <protection/>
    </xf>
    <xf numFmtId="0" fontId="0" fillId="16" borderId="0" xfId="0" applyFill="1" applyAlignment="1">
      <alignment/>
    </xf>
    <xf numFmtId="1" fontId="36" fillId="0" borderId="0" xfId="60" applyNumberFormat="1" applyFont="1" applyAlignment="1">
      <alignment horizontal="center"/>
      <protection/>
    </xf>
    <xf numFmtId="165" fontId="1" fillId="0" borderId="0" xfId="0" applyNumberFormat="1" applyFont="1" applyBorder="1" applyAlignment="1" applyProtection="1">
      <alignment horizontal="left"/>
      <protection/>
    </xf>
    <xf numFmtId="165" fontId="1" fillId="0" borderId="0" xfId="0" applyNumberFormat="1" applyFont="1" applyBorder="1" applyAlignment="1" applyProtection="1">
      <alignment/>
      <protection/>
    </xf>
    <xf numFmtId="0" fontId="10" fillId="0" borderId="0" xfId="0" applyFont="1" applyBorder="1" applyAlignment="1" applyProtection="1">
      <alignment/>
      <protection/>
    </xf>
    <xf numFmtId="0" fontId="35" fillId="13" borderId="0" xfId="60" applyFont="1" applyFill="1">
      <alignment/>
      <protection/>
    </xf>
    <xf numFmtId="0" fontId="36" fillId="13" borderId="0" xfId="60" applyFill="1">
      <alignment/>
      <protection/>
    </xf>
    <xf numFmtId="165" fontId="5" fillId="13" borderId="0" xfId="0" applyNumberFormat="1" applyFont="1" applyFill="1" applyBorder="1" applyAlignment="1" applyProtection="1">
      <alignment/>
      <protection/>
    </xf>
    <xf numFmtId="0" fontId="59" fillId="0" borderId="0" xfId="59" applyProtection="1">
      <alignment/>
      <protection locked="0"/>
    </xf>
    <xf numFmtId="0" fontId="0" fillId="0" borderId="0" xfId="0" applyAlignment="1" applyProtection="1">
      <alignment/>
      <protection locked="0"/>
    </xf>
    <xf numFmtId="0" fontId="9" fillId="0" borderId="0" xfId="0" applyFont="1" applyAlignment="1" applyProtection="1">
      <alignment/>
      <protection locked="0"/>
    </xf>
    <xf numFmtId="0" fontId="0" fillId="0" borderId="16"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0" xfId="0" applyAlignment="1" applyProtection="1">
      <alignment horizontal="center"/>
      <protection locked="0"/>
    </xf>
    <xf numFmtId="0" fontId="0" fillId="0" borderId="0" xfId="0" applyBorder="1" applyAlignment="1" applyProtection="1">
      <alignment/>
      <protection locked="0"/>
    </xf>
    <xf numFmtId="0" fontId="0" fillId="0" borderId="0"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27" xfId="0" applyBorder="1" applyAlignment="1" applyProtection="1">
      <alignment horizontal="center"/>
      <protection locked="0"/>
    </xf>
    <xf numFmtId="0" fontId="0" fillId="17" borderId="0" xfId="0" applyFill="1" applyAlignment="1" applyProtection="1">
      <alignment/>
      <protection locked="0"/>
    </xf>
    <xf numFmtId="0" fontId="11" fillId="0" borderId="0" xfId="0" applyFont="1" applyAlignment="1" applyProtection="1">
      <alignment/>
      <protection locked="0"/>
    </xf>
    <xf numFmtId="0" fontId="37" fillId="0" borderId="0" xfId="0" applyFont="1" applyBorder="1" applyAlignment="1" applyProtection="1">
      <alignment/>
      <protection locked="0"/>
    </xf>
    <xf numFmtId="0" fontId="8" fillId="0" borderId="0" xfId="0" applyFont="1" applyBorder="1" applyAlignment="1" applyProtection="1">
      <alignment/>
      <protection locked="0"/>
    </xf>
    <xf numFmtId="0" fontId="9" fillId="0" borderId="0" xfId="0" applyFont="1" applyFill="1" applyAlignment="1" applyProtection="1">
      <alignment/>
      <protection locked="0"/>
    </xf>
    <xf numFmtId="0" fontId="89" fillId="0" borderId="0" xfId="0" applyFont="1" applyAlignment="1" applyProtection="1">
      <alignment/>
      <protection locked="0"/>
    </xf>
    <xf numFmtId="0" fontId="89" fillId="15" borderId="0" xfId="0" applyFont="1" applyFill="1" applyAlignment="1" applyProtection="1">
      <alignment horizontal="left"/>
      <protection locked="0"/>
    </xf>
    <xf numFmtId="0" fontId="13" fillId="15" borderId="0" xfId="0" applyFont="1" applyFill="1" applyAlignment="1" applyProtection="1">
      <alignment horizontal="left"/>
      <protection locked="0"/>
    </xf>
    <xf numFmtId="0" fontId="0" fillId="0" borderId="0" xfId="0" applyFill="1" applyAlignment="1" applyProtection="1">
      <alignment/>
      <protection locked="0"/>
    </xf>
    <xf numFmtId="0" fontId="59" fillId="0" borderId="18" xfId="59" applyBorder="1" applyProtection="1">
      <alignment/>
      <protection locked="0"/>
    </xf>
    <xf numFmtId="0" fontId="0" fillId="0" borderId="18" xfId="0" applyFill="1" applyBorder="1" applyAlignment="1" applyProtection="1">
      <alignment/>
      <protection locked="0"/>
    </xf>
    <xf numFmtId="0" fontId="0" fillId="0" borderId="18" xfId="0" applyBorder="1" applyAlignment="1" applyProtection="1">
      <alignment/>
      <protection locked="0"/>
    </xf>
    <xf numFmtId="0" fontId="0" fillId="0" borderId="17" xfId="0" applyBorder="1" applyAlignment="1" applyProtection="1">
      <alignment/>
      <protection locked="0"/>
    </xf>
    <xf numFmtId="165" fontId="28" fillId="0" borderId="18" xfId="0" applyNumberFormat="1" applyFont="1" applyFill="1" applyBorder="1" applyAlignment="1" applyProtection="1">
      <alignment horizontal="left"/>
      <protection locked="0"/>
    </xf>
    <xf numFmtId="165" fontId="28" fillId="0" borderId="0" xfId="0" applyNumberFormat="1" applyFont="1" applyFill="1" applyBorder="1" applyAlignment="1" applyProtection="1">
      <alignment horizontal="left"/>
      <protection locked="0"/>
    </xf>
    <xf numFmtId="0" fontId="0" fillId="0" borderId="0" xfId="0" applyFill="1" applyBorder="1" applyAlignment="1" applyProtection="1">
      <alignment/>
      <protection locked="0"/>
    </xf>
    <xf numFmtId="165" fontId="33" fillId="0" borderId="0" xfId="0" applyNumberFormat="1" applyFont="1" applyFill="1" applyAlignment="1" applyProtection="1">
      <alignment horizontal="left"/>
      <protection locked="0"/>
    </xf>
    <xf numFmtId="0" fontId="0" fillId="0" borderId="0" xfId="0" applyFont="1" applyFill="1" applyAlignment="1" applyProtection="1">
      <alignment/>
      <protection locked="0"/>
    </xf>
    <xf numFmtId="0" fontId="0" fillId="0" borderId="0" xfId="0" applyFont="1" applyAlignment="1" applyProtection="1">
      <alignment/>
      <protection locked="0"/>
    </xf>
    <xf numFmtId="166" fontId="0" fillId="0" borderId="0" xfId="0" applyNumberFormat="1" applyAlignment="1" applyProtection="1">
      <alignment horizontal="center"/>
      <protection locked="0"/>
    </xf>
    <xf numFmtId="0" fontId="15" fillId="0" borderId="0" xfId="0" applyFont="1" applyAlignment="1" applyProtection="1">
      <alignment horizontal="center"/>
      <protection locked="0"/>
    </xf>
    <xf numFmtId="165" fontId="33" fillId="0" borderId="0" xfId="0" applyNumberFormat="1" applyFont="1" applyFill="1" applyBorder="1" applyAlignment="1" applyProtection="1">
      <alignment horizontal="left"/>
      <protection locked="0"/>
    </xf>
    <xf numFmtId="0" fontId="0" fillId="0" borderId="0" xfId="0" applyFont="1" applyFill="1" applyBorder="1" applyAlignment="1" applyProtection="1">
      <alignment/>
      <protection locked="0"/>
    </xf>
    <xf numFmtId="0" fontId="0" fillId="0" borderId="0" xfId="0" applyFont="1" applyBorder="1" applyAlignment="1" applyProtection="1">
      <alignment/>
      <protection locked="0"/>
    </xf>
    <xf numFmtId="166" fontId="0" fillId="0" borderId="0" xfId="0" applyNumberFormat="1" applyFont="1" applyBorder="1" applyAlignment="1" applyProtection="1">
      <alignment horizontal="center"/>
      <protection locked="0"/>
    </xf>
    <xf numFmtId="165" fontId="33" fillId="0" borderId="0" xfId="0" applyNumberFormat="1" applyFont="1" applyFill="1" applyAlignment="1" applyProtection="1">
      <alignment/>
      <protection locked="0"/>
    </xf>
    <xf numFmtId="171" fontId="15" fillId="0" borderId="0" xfId="0" applyNumberFormat="1" applyFont="1" applyAlignment="1" applyProtection="1">
      <alignment horizontal="center"/>
      <protection locked="0"/>
    </xf>
    <xf numFmtId="165" fontId="28" fillId="0" borderId="0" xfId="0" applyNumberFormat="1" applyFont="1" applyFill="1" applyAlignment="1" applyProtection="1">
      <alignment horizontal="left"/>
      <protection locked="0"/>
    </xf>
    <xf numFmtId="171" fontId="9" fillId="0" borderId="0" xfId="0" applyNumberFormat="1" applyFont="1" applyAlignment="1" applyProtection="1">
      <alignment horizontal="center"/>
      <protection locked="0"/>
    </xf>
    <xf numFmtId="0" fontId="15" fillId="0" borderId="18" xfId="0" applyFont="1" applyBorder="1" applyAlignment="1" applyProtection="1">
      <alignment horizontal="center"/>
      <protection locked="0"/>
    </xf>
    <xf numFmtId="171" fontId="9" fillId="0" borderId="18" xfId="0" applyNumberFormat="1" applyFont="1" applyBorder="1" applyAlignment="1" applyProtection="1">
      <alignment horizontal="center"/>
      <protection locked="0"/>
    </xf>
    <xf numFmtId="0" fontId="0" fillId="17" borderId="18" xfId="0" applyFill="1" applyBorder="1" applyAlignment="1" applyProtection="1">
      <alignment/>
      <protection locked="0"/>
    </xf>
    <xf numFmtId="0" fontId="9" fillId="0" borderId="18" xfId="0" applyFont="1" applyBorder="1" applyAlignment="1" applyProtection="1">
      <alignment horizontal="left"/>
      <protection locked="0"/>
    </xf>
    <xf numFmtId="0" fontId="0" fillId="0" borderId="0" xfId="0" applyAlignment="1" applyProtection="1">
      <alignment horizontal="right"/>
      <protection locked="0"/>
    </xf>
    <xf numFmtId="171" fontId="0" fillId="0" borderId="0" xfId="0" applyNumberFormat="1" applyAlignment="1" applyProtection="1">
      <alignment horizontal="center"/>
      <protection locked="0"/>
    </xf>
    <xf numFmtId="184" fontId="0" fillId="0" borderId="0" xfId="0" applyNumberFormat="1" applyBorder="1" applyAlignment="1" applyProtection="1">
      <alignment horizontal="center"/>
      <protection locked="0"/>
    </xf>
    <xf numFmtId="167" fontId="0" fillId="0" borderId="0" xfId="0" applyNumberFormat="1" applyAlignment="1" applyProtection="1">
      <alignment horizontal="center"/>
      <protection locked="0"/>
    </xf>
    <xf numFmtId="165" fontId="28" fillId="0" borderId="0" xfId="0" applyNumberFormat="1" applyFont="1" applyAlignment="1" applyProtection="1">
      <alignment horizontal="left"/>
      <protection locked="0"/>
    </xf>
    <xf numFmtId="171" fontId="0" fillId="0" borderId="18" xfId="0" applyNumberFormat="1" applyBorder="1" applyAlignment="1" applyProtection="1">
      <alignment horizontal="center"/>
      <protection locked="0"/>
    </xf>
    <xf numFmtId="0" fontId="91" fillId="0" borderId="0" xfId="59" applyFont="1" applyBorder="1" applyAlignment="1" applyProtection="1">
      <alignment horizontal="center"/>
      <protection locked="0"/>
    </xf>
    <xf numFmtId="0" fontId="59" fillId="0" borderId="18" xfId="59" applyFont="1" applyBorder="1" applyAlignment="1" applyProtection="1">
      <alignment horizontal="center"/>
      <protection locked="0"/>
    </xf>
    <xf numFmtId="0" fontId="91" fillId="0" borderId="18" xfId="59" applyFont="1" applyBorder="1" applyAlignment="1" applyProtection="1">
      <alignment horizontal="center"/>
      <protection locked="0"/>
    </xf>
    <xf numFmtId="0" fontId="59" fillId="0" borderId="0" xfId="59" applyFont="1" applyProtection="1">
      <alignment/>
      <protection locked="0"/>
    </xf>
    <xf numFmtId="184" fontId="0" fillId="0" borderId="0" xfId="0" applyNumberFormat="1" applyAlignment="1" applyProtection="1">
      <alignment horizontal="center"/>
      <protection locked="0"/>
    </xf>
    <xf numFmtId="0" fontId="0" fillId="0" borderId="18" xfId="0" applyFont="1" applyFill="1" applyBorder="1" applyAlignment="1" applyProtection="1">
      <alignment/>
      <protection locked="0"/>
    </xf>
    <xf numFmtId="166" fontId="0" fillId="0" borderId="0" xfId="0" applyNumberFormat="1" applyFont="1" applyAlignment="1" applyProtection="1">
      <alignment horizontal="center"/>
      <protection locked="0"/>
    </xf>
    <xf numFmtId="0" fontId="0" fillId="0" borderId="18" xfId="0" applyFont="1" applyBorder="1" applyAlignment="1" applyProtection="1">
      <alignment/>
      <protection locked="0"/>
    </xf>
    <xf numFmtId="165" fontId="28" fillId="0" borderId="0" xfId="0" applyNumberFormat="1" applyFont="1" applyBorder="1" applyAlignment="1" applyProtection="1">
      <alignment horizontal="left"/>
      <protection locked="0"/>
    </xf>
    <xf numFmtId="2" fontId="0" fillId="0" borderId="18" xfId="0" applyNumberFormat="1" applyBorder="1" applyAlignment="1" applyProtection="1">
      <alignment horizontal="center"/>
      <protection locked="0"/>
    </xf>
    <xf numFmtId="2" fontId="0" fillId="0" borderId="0" xfId="0" applyNumberFormat="1" applyAlignment="1" applyProtection="1">
      <alignment/>
      <protection locked="0"/>
    </xf>
    <xf numFmtId="2" fontId="59" fillId="0" borderId="0" xfId="59" applyNumberFormat="1" applyProtection="1">
      <alignment/>
      <protection locked="0"/>
    </xf>
    <xf numFmtId="1" fontId="9" fillId="0" borderId="18" xfId="0" applyNumberFormat="1" applyFont="1" applyBorder="1" applyAlignment="1" applyProtection="1">
      <alignment horizontal="center"/>
      <protection locked="0"/>
    </xf>
    <xf numFmtId="0" fontId="92" fillId="0" borderId="0" xfId="59" applyFont="1" applyProtection="1">
      <alignment/>
      <protection locked="0"/>
    </xf>
    <xf numFmtId="0" fontId="93" fillId="0" borderId="0" xfId="0" applyFont="1" applyAlignment="1" applyProtection="1">
      <alignment horizontal="right"/>
      <protection locked="0"/>
    </xf>
    <xf numFmtId="0" fontId="93" fillId="0" borderId="0" xfId="0" applyFont="1" applyAlignment="1" applyProtection="1">
      <alignment/>
      <protection locked="0"/>
    </xf>
    <xf numFmtId="2" fontId="93" fillId="0" borderId="0" xfId="0" applyNumberFormat="1" applyFont="1" applyAlignment="1" applyProtection="1">
      <alignment horizontal="center"/>
      <protection locked="0"/>
    </xf>
    <xf numFmtId="0" fontId="94" fillId="0" borderId="0" xfId="0" applyFont="1" applyAlignment="1" applyProtection="1">
      <alignment/>
      <protection locked="0"/>
    </xf>
    <xf numFmtId="0" fontId="44" fillId="0" borderId="0" xfId="0" applyFont="1" applyAlignment="1" applyProtection="1">
      <alignment/>
      <protection locked="0"/>
    </xf>
    <xf numFmtId="2" fontId="44" fillId="0" borderId="0" xfId="0" applyNumberFormat="1" applyFont="1" applyAlignment="1" applyProtection="1">
      <alignment horizontal="center"/>
      <protection locked="0"/>
    </xf>
    <xf numFmtId="5" fontId="33" fillId="0" borderId="0" xfId="0" applyNumberFormat="1" applyFont="1" applyAlignment="1">
      <alignment horizontal="center"/>
    </xf>
    <xf numFmtId="177" fontId="36" fillId="0" borderId="0" xfId="57" applyNumberFormat="1" applyAlignment="1">
      <alignment horizontal="center"/>
      <protection/>
    </xf>
    <xf numFmtId="177" fontId="36" fillId="0" borderId="0" xfId="57" applyNumberFormat="1" applyFont="1" applyAlignment="1">
      <alignment horizontal="center"/>
      <protection/>
    </xf>
    <xf numFmtId="10" fontId="36" fillId="0" borderId="0" xfId="57" applyNumberFormat="1" applyAlignment="1">
      <alignment horizontal="center"/>
      <protection/>
    </xf>
    <xf numFmtId="2" fontId="36" fillId="0" borderId="0" xfId="57" applyNumberFormat="1" applyAlignment="1">
      <alignment horizontal="center"/>
      <protection/>
    </xf>
    <xf numFmtId="2" fontId="36" fillId="0" borderId="0" xfId="57" applyNumberFormat="1" applyBorder="1" applyAlignment="1">
      <alignment horizontal="center"/>
      <protection/>
    </xf>
    <xf numFmtId="0" fontId="1" fillId="0" borderId="23" xfId="0" applyFont="1" applyBorder="1" applyAlignment="1" applyProtection="1">
      <alignment horizontal="center"/>
      <protection/>
    </xf>
    <xf numFmtId="0" fontId="1" fillId="0" borderId="0" xfId="0" applyFont="1" applyAlignment="1" applyProtection="1">
      <alignment horizontal="center"/>
      <protection/>
    </xf>
    <xf numFmtId="0" fontId="9" fillId="0" borderId="27" xfId="0" applyFont="1" applyBorder="1" applyAlignment="1" applyProtection="1">
      <alignment horizontal="center"/>
      <protection/>
    </xf>
    <xf numFmtId="0" fontId="9" fillId="0" borderId="18" xfId="0" applyFont="1" applyBorder="1" applyAlignment="1" applyProtection="1">
      <alignment horizontal="center"/>
      <protection/>
    </xf>
    <xf numFmtId="0" fontId="21" fillId="0" borderId="27" xfId="0" applyFont="1" applyBorder="1" applyAlignment="1" applyProtection="1">
      <alignment/>
      <protection/>
    </xf>
    <xf numFmtId="0" fontId="21" fillId="0" borderId="18" xfId="0" applyFont="1" applyBorder="1" applyAlignment="1" applyProtection="1">
      <alignment/>
      <protection/>
    </xf>
    <xf numFmtId="0" fontId="4" fillId="0" borderId="25" xfId="0" applyFont="1" applyBorder="1" applyAlignment="1" applyProtection="1">
      <alignment horizontal="center"/>
      <protection/>
    </xf>
    <xf numFmtId="0" fontId="1" fillId="0" borderId="17" xfId="0" applyFont="1" applyBorder="1" applyAlignment="1" applyProtection="1">
      <alignment horizontal="center"/>
      <protection/>
    </xf>
    <xf numFmtId="0" fontId="1" fillId="0" borderId="45" xfId="0" applyFont="1" applyBorder="1" applyAlignment="1" applyProtection="1">
      <alignment horizontal="center"/>
      <protection/>
    </xf>
    <xf numFmtId="0" fontId="1" fillId="0" borderId="46" xfId="0" applyFont="1" applyBorder="1" applyAlignment="1" applyProtection="1">
      <alignment horizontal="center"/>
      <protection/>
    </xf>
    <xf numFmtId="0" fontId="1" fillId="0" borderId="22" xfId="0" applyFont="1" applyBorder="1" applyAlignment="1" applyProtection="1">
      <alignment horizontal="center"/>
      <protection/>
    </xf>
    <xf numFmtId="0" fontId="1" fillId="0" borderId="18" xfId="0" applyFont="1" applyBorder="1" applyAlignment="1" applyProtection="1">
      <alignment horizontal="center"/>
      <protection/>
    </xf>
    <xf numFmtId="0" fontId="4" fillId="0" borderId="0" xfId="0" applyFont="1" applyAlignment="1" applyProtection="1">
      <alignment/>
      <protection/>
    </xf>
    <xf numFmtId="0" fontId="4" fillId="0" borderId="25" xfId="0" applyFont="1" applyBorder="1" applyAlignment="1" applyProtection="1">
      <alignment/>
      <protection/>
    </xf>
    <xf numFmtId="0" fontId="9" fillId="15" borderId="18" xfId="0" applyFont="1" applyFill="1" applyBorder="1" applyAlignment="1" applyProtection="1">
      <alignment horizontal="center"/>
      <protection/>
    </xf>
    <xf numFmtId="0" fontId="1" fillId="5" borderId="18" xfId="0" applyFont="1" applyFill="1" applyBorder="1" applyAlignment="1" applyProtection="1">
      <alignment horizontal="center"/>
      <protection/>
    </xf>
    <xf numFmtId="0" fontId="1" fillId="5" borderId="18" xfId="0" applyFont="1" applyFill="1" applyBorder="1" applyAlignment="1" applyProtection="1">
      <alignment horizontal="left"/>
      <protection/>
    </xf>
    <xf numFmtId="0" fontId="35" fillId="0" borderId="0" xfId="0" applyFont="1" applyBorder="1" applyAlignment="1" applyProtection="1">
      <alignment/>
      <protection/>
    </xf>
    <xf numFmtId="170" fontId="1" fillId="15" borderId="0" xfId="0" applyNumberFormat="1" applyFont="1" applyFill="1" applyAlignment="1" applyProtection="1">
      <alignment horizontal="center"/>
      <protection/>
    </xf>
    <xf numFmtId="0" fontId="4" fillId="0" borderId="0" xfId="0" applyFont="1" applyBorder="1" applyAlignment="1" applyProtection="1">
      <alignment horizontal="center"/>
      <protection/>
    </xf>
    <xf numFmtId="0" fontId="4" fillId="0" borderId="23" xfId="0" applyFont="1" applyBorder="1" applyAlignment="1" applyProtection="1">
      <alignment/>
      <protection/>
    </xf>
    <xf numFmtId="0" fontId="4" fillId="0" borderId="24" xfId="0" applyFont="1" applyBorder="1" applyAlignment="1" applyProtection="1">
      <alignment/>
      <protection/>
    </xf>
    <xf numFmtId="0" fontId="4" fillId="0" borderId="18" xfId="0" applyFont="1" applyBorder="1" applyAlignment="1" applyProtection="1">
      <alignment horizontal="center"/>
      <protection/>
    </xf>
    <xf numFmtId="0" fontId="4" fillId="0" borderId="0" xfId="0" applyFont="1" applyAlignment="1" applyProtection="1">
      <alignment horizontal="center"/>
      <protection/>
    </xf>
    <xf numFmtId="0" fontId="9" fillId="18" borderId="0" xfId="0" applyFont="1" applyFill="1" applyAlignment="1">
      <alignment horizontal="center"/>
    </xf>
    <xf numFmtId="0" fontId="0" fillId="0" borderId="17"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18" xfId="0" applyBorder="1" applyAlignment="1">
      <alignment wrapText="1"/>
    </xf>
    <xf numFmtId="0" fontId="11" fillId="0" borderId="18" xfId="0" applyFont="1" applyBorder="1" applyAlignment="1">
      <alignment horizontal="center"/>
    </xf>
    <xf numFmtId="165" fontId="59" fillId="0" borderId="26" xfId="0" applyNumberFormat="1" applyFont="1" applyFill="1" applyBorder="1" applyAlignment="1" applyProtection="1">
      <alignment horizontal="left"/>
      <protection/>
    </xf>
    <xf numFmtId="165" fontId="59" fillId="0" borderId="0" xfId="0" applyNumberFormat="1" applyFont="1" applyFill="1" applyBorder="1" applyAlignment="1" applyProtection="1">
      <alignment horizontal="left"/>
      <protection/>
    </xf>
    <xf numFmtId="165" fontId="59" fillId="0" borderId="26" xfId="0" applyNumberFormat="1" applyFont="1" applyBorder="1" applyAlignment="1" applyProtection="1">
      <alignment horizontal="left"/>
      <protection/>
    </xf>
    <xf numFmtId="165" fontId="59" fillId="0" borderId="0" xfId="0" applyNumberFormat="1" applyFont="1" applyBorder="1" applyAlignment="1" applyProtection="1">
      <alignment horizontal="left"/>
      <protection/>
    </xf>
    <xf numFmtId="165" fontId="59" fillId="0" borderId="25" xfId="0" applyNumberFormat="1" applyFont="1" applyBorder="1" applyAlignment="1" applyProtection="1">
      <alignment horizontal="left"/>
      <protection/>
    </xf>
    <xf numFmtId="165" fontId="59" fillId="0" borderId="22" xfId="0" applyNumberFormat="1" applyFont="1" applyBorder="1" applyAlignment="1" applyProtection="1">
      <alignment horizontal="left"/>
      <protection/>
    </xf>
    <xf numFmtId="165" fontId="59" fillId="0" borderId="23" xfId="0" applyNumberFormat="1" applyFont="1" applyBorder="1" applyAlignment="1" applyProtection="1">
      <alignment horizontal="left"/>
      <protection/>
    </xf>
    <xf numFmtId="165" fontId="59" fillId="0" borderId="24" xfId="0" applyNumberFormat="1" applyFont="1" applyBorder="1" applyAlignment="1" applyProtection="1">
      <alignment horizontal="left"/>
      <protection/>
    </xf>
    <xf numFmtId="0" fontId="59" fillId="0" borderId="0" xfId="0" applyFont="1" applyBorder="1" applyAlignment="1" applyProtection="1">
      <alignment horizontal="left"/>
      <protection/>
    </xf>
    <xf numFmtId="0" fontId="9" fillId="0" borderId="17" xfId="0" applyFont="1" applyBorder="1" applyAlignment="1" applyProtection="1">
      <alignment horizontal="left"/>
      <protection/>
    </xf>
    <xf numFmtId="0" fontId="9" fillId="0" borderId="45" xfId="0" applyFont="1" applyBorder="1" applyAlignment="1" applyProtection="1">
      <alignment horizontal="left"/>
      <protection/>
    </xf>
    <xf numFmtId="0" fontId="9" fillId="0" borderId="46" xfId="0" applyFont="1" applyBorder="1" applyAlignment="1" applyProtection="1">
      <alignment horizontal="left"/>
      <protection/>
    </xf>
    <xf numFmtId="165" fontId="59" fillId="0" borderId="27" xfId="0" applyNumberFormat="1" applyFont="1" applyBorder="1" applyAlignment="1" applyProtection="1">
      <alignment horizontal="left"/>
      <protection/>
    </xf>
    <xf numFmtId="165" fontId="59" fillId="0" borderId="18" xfId="0" applyNumberFormat="1" applyFont="1" applyBorder="1" applyAlignment="1" applyProtection="1">
      <alignment horizontal="left"/>
      <protection/>
    </xf>
    <xf numFmtId="165" fontId="59" fillId="0" borderId="50" xfId="0" applyNumberFormat="1" applyFont="1" applyBorder="1" applyAlignment="1" applyProtection="1">
      <alignment horizontal="left"/>
      <protection/>
    </xf>
    <xf numFmtId="165" fontId="59" fillId="3" borderId="27" xfId="0" applyNumberFormat="1" applyFont="1" applyFill="1" applyBorder="1" applyAlignment="1" applyProtection="1">
      <alignment horizontal="left"/>
      <protection/>
    </xf>
    <xf numFmtId="165" fontId="59" fillId="3" borderId="18" xfId="0" applyNumberFormat="1" applyFont="1" applyFill="1" applyBorder="1" applyAlignment="1" applyProtection="1">
      <alignment horizontal="left"/>
      <protection/>
    </xf>
    <xf numFmtId="165" fontId="58" fillId="0" borderId="45" xfId="0" applyNumberFormat="1" applyFont="1" applyBorder="1" applyAlignment="1" applyProtection="1">
      <alignment horizontal="left"/>
      <protection/>
    </xf>
    <xf numFmtId="0" fontId="9" fillId="15" borderId="0" xfId="0" applyFont="1" applyFill="1" applyBorder="1" applyAlignment="1" applyProtection="1">
      <alignment horizontal="center"/>
      <protection/>
    </xf>
    <xf numFmtId="165" fontId="58" fillId="0" borderId="17" xfId="0" applyNumberFormat="1" applyFont="1" applyBorder="1" applyAlignment="1" applyProtection="1">
      <alignment horizontal="left"/>
      <protection/>
    </xf>
    <xf numFmtId="0" fontId="59" fillId="0" borderId="26" xfId="0" applyFont="1" applyBorder="1" applyAlignment="1" applyProtection="1">
      <alignment/>
      <protection/>
    </xf>
    <xf numFmtId="0" fontId="59" fillId="0" borderId="0" xfId="0" applyFont="1" applyBorder="1" applyAlignment="1" applyProtection="1">
      <alignment/>
      <protection/>
    </xf>
    <xf numFmtId="165" fontId="58" fillId="0" borderId="23" xfId="0" applyNumberFormat="1" applyFont="1" applyBorder="1" applyAlignment="1" applyProtection="1">
      <alignment horizontal="left"/>
      <protection/>
    </xf>
    <xf numFmtId="0" fontId="58" fillId="0" borderId="23" xfId="0" applyFont="1" applyBorder="1" applyAlignment="1" applyProtection="1">
      <alignment horizontal="left"/>
      <protection/>
    </xf>
    <xf numFmtId="165" fontId="58" fillId="0" borderId="18" xfId="0" applyNumberFormat="1" applyFont="1" applyBorder="1" applyAlignment="1" applyProtection="1">
      <alignment horizontal="left"/>
      <protection/>
    </xf>
    <xf numFmtId="0" fontId="61" fillId="0" borderId="0" xfId="0" applyFont="1" applyBorder="1" applyAlignment="1" applyProtection="1">
      <alignment horizontal="left"/>
      <protection/>
    </xf>
    <xf numFmtId="165" fontId="10" fillId="0" borderId="51" xfId="0" applyNumberFormat="1" applyFont="1" applyBorder="1" applyAlignment="1" applyProtection="1">
      <alignment horizontal="left"/>
      <protection/>
    </xf>
    <xf numFmtId="165" fontId="10" fillId="0" borderId="52" xfId="0" applyNumberFormat="1" applyFont="1" applyBorder="1" applyAlignment="1" applyProtection="1">
      <alignment horizontal="left"/>
      <protection/>
    </xf>
    <xf numFmtId="165" fontId="10" fillId="0" borderId="53" xfId="0" applyNumberFormat="1" applyFont="1" applyBorder="1" applyAlignment="1" applyProtection="1">
      <alignment horizontal="left"/>
      <protection/>
    </xf>
    <xf numFmtId="165" fontId="10" fillId="0" borderId="47" xfId="0" applyNumberFormat="1" applyFont="1" applyBorder="1" applyAlignment="1" applyProtection="1">
      <alignment horizontal="left"/>
      <protection/>
    </xf>
    <xf numFmtId="165" fontId="10" fillId="0" borderId="0" xfId="0" applyNumberFormat="1" applyFont="1" applyBorder="1" applyAlignment="1" applyProtection="1">
      <alignment horizontal="left"/>
      <protection/>
    </xf>
    <xf numFmtId="165" fontId="10" fillId="0" borderId="54" xfId="0" applyNumberFormat="1" applyFont="1" applyBorder="1" applyAlignment="1" applyProtection="1">
      <alignment horizontal="left"/>
      <protection/>
    </xf>
    <xf numFmtId="165" fontId="10" fillId="0" borderId="55" xfId="0" applyNumberFormat="1" applyFont="1" applyBorder="1" applyAlignment="1" applyProtection="1">
      <alignment horizontal="left"/>
      <protection/>
    </xf>
    <xf numFmtId="165" fontId="10" fillId="0" borderId="56" xfId="0" applyNumberFormat="1" applyFont="1" applyBorder="1" applyAlignment="1" applyProtection="1">
      <alignment horizontal="left"/>
      <protection/>
    </xf>
    <xf numFmtId="165" fontId="10" fillId="0" borderId="57" xfId="0" applyNumberFormat="1" applyFont="1" applyBorder="1" applyAlignment="1" applyProtection="1">
      <alignment horizontal="left"/>
      <protection/>
    </xf>
    <xf numFmtId="165" fontId="58" fillId="0" borderId="27" xfId="0" applyNumberFormat="1" applyFont="1" applyBorder="1" applyAlignment="1" applyProtection="1">
      <alignment horizontal="left"/>
      <protection/>
    </xf>
    <xf numFmtId="165" fontId="59" fillId="0" borderId="28" xfId="0" applyNumberFormat="1" applyFont="1" applyBorder="1" applyAlignment="1" applyProtection="1">
      <alignment horizontal="left"/>
      <protection/>
    </xf>
    <xf numFmtId="0" fontId="9" fillId="15" borderId="17" xfId="0" applyFont="1" applyFill="1" applyBorder="1" applyAlignment="1" applyProtection="1">
      <alignment horizontal="center"/>
      <protection/>
    </xf>
    <xf numFmtId="0" fontId="9" fillId="15" borderId="46" xfId="0" applyFont="1" applyFill="1" applyBorder="1" applyAlignment="1" applyProtection="1">
      <alignment horizontal="center"/>
      <protection/>
    </xf>
    <xf numFmtId="0" fontId="36" fillId="0" borderId="0" xfId="57" applyFont="1" applyFill="1" applyBorder="1" applyAlignment="1">
      <alignment horizontal="center" vertical="center" wrapText="1"/>
      <protection/>
    </xf>
    <xf numFmtId="0" fontId="36" fillId="0" borderId="18" xfId="57" applyFont="1" applyFill="1" applyBorder="1" applyAlignment="1">
      <alignment horizontal="center" vertical="center" wrapText="1"/>
      <protection/>
    </xf>
    <xf numFmtId="0" fontId="35" fillId="0" borderId="17" xfId="57" applyFont="1" applyFill="1" applyBorder="1" applyAlignment="1">
      <alignment horizontal="center"/>
      <protection/>
    </xf>
    <xf numFmtId="0" fontId="35" fillId="0" borderId="45" xfId="57" applyFont="1" applyFill="1" applyBorder="1" applyAlignment="1">
      <alignment horizontal="center"/>
      <protection/>
    </xf>
    <xf numFmtId="0" fontId="35" fillId="0" borderId="46" xfId="57" applyFont="1" applyFill="1" applyBorder="1" applyAlignment="1">
      <alignment horizontal="center"/>
      <protection/>
    </xf>
    <xf numFmtId="0" fontId="36" fillId="0" borderId="0" xfId="57" applyFont="1" applyBorder="1" applyAlignment="1">
      <alignment horizontal="center" vertical="center"/>
      <protection/>
    </xf>
    <xf numFmtId="0" fontId="36" fillId="0" borderId="17" xfId="57" applyBorder="1" applyAlignment="1">
      <alignment horizontal="center"/>
      <protection/>
    </xf>
    <xf numFmtId="0" fontId="36" fillId="0" borderId="46" xfId="57" applyBorder="1" applyAlignment="1">
      <alignment horizontal="center"/>
      <protection/>
    </xf>
    <xf numFmtId="0" fontId="39" fillId="15" borderId="17" xfId="0" applyFont="1" applyFill="1" applyBorder="1" applyAlignment="1">
      <alignment horizontal="center"/>
    </xf>
    <xf numFmtId="0" fontId="11" fillId="15" borderId="45" xfId="0" applyFont="1" applyFill="1" applyBorder="1" applyAlignment="1">
      <alignment horizontal="center"/>
    </xf>
    <xf numFmtId="0" fontId="11" fillId="15" borderId="46" xfId="0" applyFont="1" applyFill="1" applyBorder="1" applyAlignment="1">
      <alignment horizontal="center"/>
    </xf>
    <xf numFmtId="0" fontId="23" fillId="0" borderId="17" xfId="0" applyFont="1" applyBorder="1" applyAlignment="1">
      <alignment horizontal="center"/>
    </xf>
    <xf numFmtId="0" fontId="0" fillId="0" borderId="17" xfId="0" applyBorder="1" applyAlignment="1" applyProtection="1">
      <alignment horizontal="center"/>
      <protection locked="0"/>
    </xf>
    <xf numFmtId="0" fontId="0" fillId="0" borderId="46" xfId="0" applyBorder="1" applyAlignment="1" applyProtection="1">
      <alignment horizontal="center"/>
      <protection locked="0"/>
    </xf>
    <xf numFmtId="0" fontId="43" fillId="0" borderId="18" xfId="0" applyFont="1" applyBorder="1" applyAlignment="1">
      <alignment/>
    </xf>
    <xf numFmtId="17" fontId="43" fillId="0" borderId="0" xfId="0" applyNumberFormat="1" applyFont="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Ratio_Calc" xfId="57"/>
    <cellStyle name="Normal_Sheet" xfId="58"/>
    <cellStyle name="Normal_Sheet_1" xfId="59"/>
    <cellStyle name="Normal_Statements" xfId="60"/>
    <cellStyle name="Note" xfId="61"/>
    <cellStyle name="Output" xfId="62"/>
    <cellStyle name="Percent" xfId="63"/>
    <cellStyle name="Title" xfId="64"/>
    <cellStyle name="Total" xfId="65"/>
    <cellStyle name="Warning Text" xfId="66"/>
  </cellStyles>
  <dxfs count="4">
    <dxf>
      <font>
        <color indexed="10"/>
      </font>
    </dxf>
    <dxf>
      <font>
        <color indexed="10"/>
      </font>
    </dxf>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151E"/>
      <rgbColor rgb="00FFFFFF"/>
      <rgbColor rgb="00FF0000"/>
      <rgbColor rgb="0000FF00"/>
      <rgbColor rgb="000000FF"/>
      <rgbColor rgb="00FFFF00"/>
      <rgbColor rgb="00FF00FF"/>
      <rgbColor rgb="0007A6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003399"/>
      <rgbColor rgb="00E9EEF3"/>
      <rgbColor rgb="006F9FD4"/>
      <rgbColor rgb="00000080"/>
      <rgbColor rgb="00FF00FF"/>
      <rgbColor rgb="00FFFF00"/>
      <rgbColor rgb="0000FFFF"/>
      <rgbColor rgb="00800080"/>
      <rgbColor rgb="00800000"/>
      <rgbColor rgb="00008080"/>
      <rgbColor rgb="000000FF"/>
      <rgbColor rgb="0000CCFF"/>
      <rgbColor rgb="0011FA58"/>
      <rgbColor rgb="00CCFFCC"/>
      <rgbColor rgb="00FFFF99"/>
      <rgbColor rgb="0099CCFF"/>
      <rgbColor rgb="00EDF3FE"/>
      <rgbColor rgb="007B2FFF"/>
      <rgbColor rgb="003D80D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24</xdr:row>
      <xdr:rowOff>76200</xdr:rowOff>
    </xdr:from>
    <xdr:to>
      <xdr:col>9</xdr:col>
      <xdr:colOff>514350</xdr:colOff>
      <xdr:row>58</xdr:row>
      <xdr:rowOff>66675</xdr:rowOff>
    </xdr:to>
    <xdr:sp>
      <xdr:nvSpPr>
        <xdr:cNvPr id="1" name="Text Box 1"/>
        <xdr:cNvSpPr txBox="1">
          <a:spLocks noChangeArrowheads="1"/>
        </xdr:cNvSpPr>
      </xdr:nvSpPr>
      <xdr:spPr>
        <a:xfrm>
          <a:off x="180975" y="4381500"/>
          <a:ext cx="8181975" cy="54959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1" i="0" u="none" baseline="0">
              <a:solidFill>
                <a:srgbClr val="333333"/>
              </a:solidFill>
              <a:latin typeface="Times New Roman"/>
              <a:ea typeface="Times New Roman"/>
              <a:cs typeface="Times New Roman"/>
            </a:rPr>
            <a:t>Introduction: </a:t>
          </a:r>
          <a:r>
            <a:rPr lang="en-US" cap="none" sz="1200" b="0" i="0" u="none" baseline="0">
              <a:solidFill>
                <a:srgbClr val="333333"/>
              </a:solidFill>
              <a:latin typeface="Times New Roman"/>
              <a:ea typeface="Times New Roman"/>
              <a:cs typeface="Times New Roman"/>
            </a:rPr>
            <a:t>The primary purpose of this template is to demonstrate the interaction of financial statements for educational purposes and take a "quick and dirty" look at the financial feasibility of an operation. The user must complete some very minimal set of information about each enterprise within an operation.  Additional information is entered about assets and liabilities to provide a complete financial picture.   
Use the Enterprise tab and Statements tab at the bottom of the screen to enter requested data.  </a:t>
          </a:r>
          <a:r>
            <a:rPr lang="en-US" cap="none" sz="1200" b="1" i="0" u="none" baseline="0">
              <a:solidFill>
                <a:srgbClr val="FF0000"/>
              </a:solidFill>
              <a:latin typeface="Times New Roman"/>
              <a:ea typeface="Times New Roman"/>
              <a:cs typeface="Times New Roman"/>
            </a:rPr>
            <a:t>This template is not capable of detailed financial analysis.</a:t>
          </a:r>
          <a:r>
            <a:rPr lang="en-US" cap="none" sz="1200" b="0" i="0" u="none" baseline="0">
              <a:solidFill>
                <a:srgbClr val="333333"/>
              </a:solidFill>
              <a:latin typeface="Times New Roman"/>
              <a:ea typeface="Times New Roman"/>
              <a:cs typeface="Times New Roman"/>
            </a:rPr>
            <a:t>  Spreadsheets that are capable of detailed financial analysis are located at    http://www.montana.edu/softwaredownloads/ 
Financial statements used in this spreadsheet are very condensed versions of the basic statements used for financial analysis  (balance sheet, cash flow, income statement, statement of owner equity).  These statements are both simplified and some data entry has been restricted to assure information flows to the correct financial statement.  While simplified statements, the interaction of the statements and financial analysis concepts remain the same.  In fact, these statements produce financial analysis ratio values (see Ratio_Calc tab) and dollar amount calculations identical to detailed financial statements.  
The statements in this template are distributed "in balance" (fully reconciled).  To help learn about the relationship among the financial statements and how information flows from one to another, change a number (</a:t>
          </a:r>
          <a:r>
            <a:rPr lang="en-US" cap="none" sz="1200" b="0" i="0" u="none" baseline="0">
              <a:solidFill>
                <a:srgbClr val="0000FF"/>
              </a:solidFill>
              <a:latin typeface="Times New Roman"/>
              <a:ea typeface="Times New Roman"/>
              <a:cs typeface="Times New Roman"/>
            </a:rPr>
            <a:t>only those in blue text</a:t>
          </a:r>
          <a:r>
            <a:rPr lang="en-US" cap="none" sz="1200" b="0" i="0" u="none" baseline="0">
              <a:solidFill>
                <a:srgbClr val="333333"/>
              </a:solidFill>
              <a:latin typeface="Times New Roman"/>
              <a:ea typeface="Times New Roman"/>
              <a:cs typeface="Times New Roman"/>
            </a:rPr>
            <a:t>) in one of the statements or on one of the other tabs in the spreadsheet.  The Statement of Owner Equity indicates whether the other three statements are still reconciled.  This provides an opportunity to discuss how financial statements are linked together.  Changes in one number must be "offset" with changes somewhere else in the same system of financial statements.  In many instances, in this spreadsheet, this offset in automatically computed and put on the right statement.  If the Statement of Owner Equity shows a Discrepancy figure that is not equal to zero the "set of statements" are out of balance. The user must make one or more additional entries somewhere to make the statements reconcile. </a:t>
          </a:r>
        </a:p>
      </xdr:txBody>
    </xdr:sp>
    <xdr:clientData/>
  </xdr:twoCellAnchor>
  <xdr:twoCellAnchor editAs="oneCell">
    <xdr:from>
      <xdr:col>0</xdr:col>
      <xdr:colOff>114300</xdr:colOff>
      <xdr:row>0</xdr:row>
      <xdr:rowOff>114300</xdr:rowOff>
    </xdr:from>
    <xdr:to>
      <xdr:col>3</xdr:col>
      <xdr:colOff>533400</xdr:colOff>
      <xdr:row>8</xdr:row>
      <xdr:rowOff>0</xdr:rowOff>
    </xdr:to>
    <xdr:pic>
      <xdr:nvPicPr>
        <xdr:cNvPr id="2" name="Picture 30"/>
        <xdr:cNvPicPr preferRelativeResize="1">
          <a:picLocks noChangeAspect="1"/>
        </xdr:cNvPicPr>
      </xdr:nvPicPr>
      <xdr:blipFill>
        <a:blip r:embed="rId1"/>
        <a:stretch>
          <a:fillRect/>
        </a:stretch>
      </xdr:blipFill>
      <xdr:spPr>
        <a:xfrm>
          <a:off x="114300" y="114300"/>
          <a:ext cx="1981200" cy="1181100"/>
        </a:xfrm>
        <a:prstGeom prst="rect">
          <a:avLst/>
        </a:prstGeom>
        <a:noFill/>
        <a:ln w="9525" cmpd="sng">
          <a:noFill/>
        </a:ln>
      </xdr:spPr>
    </xdr:pic>
    <xdr:clientData/>
  </xdr:twoCellAnchor>
  <xdr:twoCellAnchor editAs="oneCell">
    <xdr:from>
      <xdr:col>3</xdr:col>
      <xdr:colOff>571500</xdr:colOff>
      <xdr:row>0</xdr:row>
      <xdr:rowOff>133350</xdr:rowOff>
    </xdr:from>
    <xdr:to>
      <xdr:col>12</xdr:col>
      <xdr:colOff>9525</xdr:colOff>
      <xdr:row>7</xdr:row>
      <xdr:rowOff>133350</xdr:rowOff>
    </xdr:to>
    <xdr:pic>
      <xdr:nvPicPr>
        <xdr:cNvPr id="3" name="Picture 31"/>
        <xdr:cNvPicPr preferRelativeResize="1">
          <a:picLocks noChangeAspect="1"/>
        </xdr:cNvPicPr>
      </xdr:nvPicPr>
      <xdr:blipFill>
        <a:blip r:embed="rId2"/>
        <a:stretch>
          <a:fillRect/>
        </a:stretch>
      </xdr:blipFill>
      <xdr:spPr>
        <a:xfrm>
          <a:off x="2133600" y="133350"/>
          <a:ext cx="7667625" cy="1133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2</xdr:row>
      <xdr:rowOff>47625</xdr:rowOff>
    </xdr:from>
    <xdr:to>
      <xdr:col>10</xdr:col>
      <xdr:colOff>142875</xdr:colOff>
      <xdr:row>5</xdr:row>
      <xdr:rowOff>209550</xdr:rowOff>
    </xdr:to>
    <xdr:sp>
      <xdr:nvSpPr>
        <xdr:cNvPr id="1" name="Text Box 5"/>
        <xdr:cNvSpPr txBox="1">
          <a:spLocks noChangeArrowheads="1"/>
        </xdr:cNvSpPr>
      </xdr:nvSpPr>
      <xdr:spPr>
        <a:xfrm>
          <a:off x="666750" y="447675"/>
          <a:ext cx="8096250" cy="876300"/>
        </a:xfrm>
        <a:prstGeom prst="rect">
          <a:avLst/>
        </a:prstGeom>
        <a:solidFill>
          <a:srgbClr val="FFFFFF"/>
        </a:solidFill>
        <a:ln w="19050" cmpd="sng">
          <a:solidFill>
            <a:srgbClr val="0000FF"/>
          </a:solidFill>
          <a:headEnd type="none"/>
          <a:tailEnd type="none"/>
        </a:ln>
      </xdr:spPr>
      <xdr:txBody>
        <a:bodyPr vertOverflow="clip" wrap="square" lIns="27432" tIns="22860" rIns="0" bIns="0"/>
        <a:p>
          <a:pPr algn="l">
            <a:defRPr/>
          </a:pPr>
          <a:r>
            <a:rPr lang="en-US" cap="none" sz="1100" b="1" i="0" u="none" baseline="0">
              <a:solidFill>
                <a:srgbClr val="FF0000"/>
              </a:solidFill>
              <a:latin typeface="Helv"/>
              <a:ea typeface="Helv"/>
              <a:cs typeface="Helv"/>
            </a:rPr>
            <a:t>Warning: </a:t>
          </a:r>
          <a:r>
            <a:rPr lang="en-US" cap="none" sz="1100" b="0" i="0" u="none" baseline="0">
              <a:solidFill>
                <a:srgbClr val="333333"/>
              </a:solidFill>
              <a:latin typeface="Helv"/>
              <a:ea typeface="Helv"/>
              <a:cs typeface="Helv"/>
            </a:rPr>
            <a:t> When entering the enterprise expenses below, </a:t>
          </a:r>
          <a:r>
            <a:rPr lang="en-US" cap="none" sz="1100" b="0" i="0" u="none" baseline="0">
              <a:solidFill>
                <a:srgbClr val="FF0000"/>
              </a:solidFill>
              <a:latin typeface="Helv"/>
              <a:ea typeface="Helv"/>
              <a:cs typeface="Helv"/>
            </a:rPr>
            <a:t>do not include</a:t>
          </a:r>
          <a:r>
            <a:rPr lang="en-US" cap="none" sz="1100" b="0" i="0" u="none" baseline="0">
              <a:solidFill>
                <a:srgbClr val="333333"/>
              </a:solidFill>
              <a:latin typeface="Helv"/>
              <a:ea typeface="Helv"/>
              <a:cs typeface="Helv"/>
            </a:rPr>
            <a:t> expenses for depreciation, interest (opportunity costs) or family living.  Depreciation expenses are included at the whole farm/ranch level and are entered below on this tab. Interest is included on the whole farm/ranch level and is calculated below on this tab.  Family living is entered on the Statements page.  If included in the enterprise costs for crops or livestock, these expenses will be double counted.  </a:t>
          </a:r>
        </a:p>
      </xdr:txBody>
    </xdr:sp>
    <xdr:clientData/>
  </xdr:twoCellAnchor>
  <xdr:twoCellAnchor>
    <xdr:from>
      <xdr:col>8</xdr:col>
      <xdr:colOff>533400</xdr:colOff>
      <xdr:row>11</xdr:row>
      <xdr:rowOff>123825</xdr:rowOff>
    </xdr:from>
    <xdr:to>
      <xdr:col>11</xdr:col>
      <xdr:colOff>161925</xdr:colOff>
      <xdr:row>17</xdr:row>
      <xdr:rowOff>123825</xdr:rowOff>
    </xdr:to>
    <xdr:sp>
      <xdr:nvSpPr>
        <xdr:cNvPr id="2" name="AutoShape 27"/>
        <xdr:cNvSpPr>
          <a:spLocks/>
        </xdr:cNvSpPr>
      </xdr:nvSpPr>
      <xdr:spPr>
        <a:xfrm>
          <a:off x="7562850" y="2295525"/>
          <a:ext cx="1981200" cy="981075"/>
        </a:xfrm>
        <a:prstGeom prst="borderCallout3">
          <a:avLst>
            <a:gd name="adj1" fmla="val 81189"/>
            <a:gd name="adj2" fmla="val -101458"/>
            <a:gd name="adj3" fmla="val 98018"/>
            <a:gd name="adj4" fmla="val -100486"/>
            <a:gd name="adj5" fmla="val 98018"/>
            <a:gd name="adj6" fmla="val -38347"/>
            <a:gd name="adj7" fmla="val 53958"/>
            <a:gd name="adj8" fmla="val -38347"/>
          </a:avLst>
        </a:prstGeom>
        <a:solidFill>
          <a:srgbClr val="FFFFFF"/>
        </a:solidFill>
        <a:ln w="25400" cmpd="sng">
          <a:solidFill>
            <a:srgbClr val="0000FF"/>
          </a:solidFill>
          <a:headEnd type="triangle"/>
          <a:tailEnd type="none"/>
        </a:ln>
      </xdr:spPr>
      <xdr:txBody>
        <a:bodyPr vertOverflow="clip" wrap="square" lIns="27432" tIns="22860" rIns="0" bIns="0"/>
        <a:p>
          <a:pPr algn="l">
            <a:defRPr/>
          </a:pPr>
          <a:r>
            <a:rPr lang="en-US" cap="none" sz="1000" b="1" i="0" u="none" baseline="0">
              <a:solidFill>
                <a:srgbClr val="FF0000"/>
              </a:solidFill>
              <a:latin typeface="Helv"/>
              <a:ea typeface="Helv"/>
              <a:cs typeface="Helv"/>
            </a:rPr>
            <a:t>Do Not </a:t>
          </a:r>
          <a:r>
            <a:rPr lang="en-US" cap="none" sz="1000" b="0" i="0" u="none" baseline="0">
              <a:solidFill>
                <a:srgbClr val="333333"/>
              </a:solidFill>
              <a:latin typeface="Helv"/>
              <a:ea typeface="Helv"/>
              <a:cs typeface="Helv"/>
            </a:rPr>
            <a:t>include interest or depreciation in the per unit (per bu., per pound, per ton, per cwt, etc.) costs of production.</a:t>
          </a:r>
        </a:p>
      </xdr:txBody>
    </xdr:sp>
    <xdr:clientData/>
  </xdr:twoCellAnchor>
  <xdr:twoCellAnchor>
    <xdr:from>
      <xdr:col>7</xdr:col>
      <xdr:colOff>771525</xdr:colOff>
      <xdr:row>14</xdr:row>
      <xdr:rowOff>66675</xdr:rowOff>
    </xdr:from>
    <xdr:to>
      <xdr:col>8</xdr:col>
      <xdr:colOff>514350</xdr:colOff>
      <xdr:row>14</xdr:row>
      <xdr:rowOff>95250</xdr:rowOff>
    </xdr:to>
    <xdr:sp>
      <xdr:nvSpPr>
        <xdr:cNvPr id="3" name="Line 29"/>
        <xdr:cNvSpPr>
          <a:spLocks/>
        </xdr:cNvSpPr>
      </xdr:nvSpPr>
      <xdr:spPr>
        <a:xfrm flipH="1">
          <a:off x="7029450" y="2733675"/>
          <a:ext cx="514350" cy="28575"/>
        </a:xfrm>
        <a:prstGeom prst="line">
          <a:avLst/>
        </a:prstGeom>
        <a:noFill/>
        <a:ln w="25400" cmpd="sng">
          <a:solidFill>
            <a:srgbClr val="0000FF"/>
          </a:solidFill>
          <a:headEnd type="none"/>
          <a:tailEnd type="triangle"/>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38</xdr:row>
      <xdr:rowOff>28575</xdr:rowOff>
    </xdr:from>
    <xdr:to>
      <xdr:col>14</xdr:col>
      <xdr:colOff>790575</xdr:colOff>
      <xdr:row>40</xdr:row>
      <xdr:rowOff>133350</xdr:rowOff>
    </xdr:to>
    <xdr:sp>
      <xdr:nvSpPr>
        <xdr:cNvPr id="1" name="Text Box 10"/>
        <xdr:cNvSpPr txBox="1">
          <a:spLocks noChangeArrowheads="1"/>
        </xdr:cNvSpPr>
      </xdr:nvSpPr>
      <xdr:spPr>
        <a:xfrm>
          <a:off x="114300" y="6124575"/>
          <a:ext cx="10839450" cy="428625"/>
        </a:xfrm>
        <a:prstGeom prst="rect">
          <a:avLst/>
        </a:prstGeom>
        <a:solidFill>
          <a:srgbClr val="FFFFFF"/>
        </a:solidFill>
        <a:ln w="25400" cmpd="sng">
          <a:solidFill>
            <a:srgbClr val="FF0000"/>
          </a:solidFill>
          <a:headEnd type="none"/>
          <a:tailEnd type="none"/>
        </a:ln>
      </xdr:spPr>
      <xdr:txBody>
        <a:bodyPr vertOverflow="clip" wrap="square" lIns="27432" tIns="22860" rIns="0" bIns="0"/>
        <a:p>
          <a:pPr algn="l">
            <a:defRPr/>
          </a:pPr>
          <a:r>
            <a:rPr lang="en-US" cap="none" sz="1000" b="1" i="0" u="none" baseline="0">
              <a:solidFill>
                <a:srgbClr val="333333"/>
              </a:solidFill>
              <a:latin typeface="Helv"/>
              <a:ea typeface="Helv"/>
              <a:cs typeface="Helv"/>
            </a:rPr>
            <a:t>Note: </a:t>
          </a:r>
          <a:r>
            <a:rPr lang="en-US" cap="none" sz="1000" b="0" i="0" u="none" baseline="0">
              <a:solidFill>
                <a:srgbClr val="333333"/>
              </a:solidFill>
              <a:latin typeface="Helv"/>
              <a:ea typeface="Helv"/>
              <a:cs typeface="Helv"/>
            </a:rPr>
            <a:t> This program is designed to teach concepts of financial analysis and get a rough initial look at a farm/ranch operation.  It is not intended and you can not use this to make detailed analysis of an individual operation.  It does not have the capability to analyze detailed information.</a:t>
          </a:r>
        </a:p>
      </xdr:txBody>
    </xdr:sp>
    <xdr:clientData/>
  </xdr:twoCellAnchor>
  <xdr:twoCellAnchor>
    <xdr:from>
      <xdr:col>0</xdr:col>
      <xdr:colOff>104775</xdr:colOff>
      <xdr:row>35</xdr:row>
      <xdr:rowOff>104775</xdr:rowOff>
    </xdr:from>
    <xdr:to>
      <xdr:col>9</xdr:col>
      <xdr:colOff>95250</xdr:colOff>
      <xdr:row>35</xdr:row>
      <xdr:rowOff>104775</xdr:rowOff>
    </xdr:to>
    <xdr:sp>
      <xdr:nvSpPr>
        <xdr:cNvPr id="2" name="Line 38"/>
        <xdr:cNvSpPr>
          <a:spLocks/>
        </xdr:cNvSpPr>
      </xdr:nvSpPr>
      <xdr:spPr>
        <a:xfrm flipH="1" flipV="1">
          <a:off x="104775" y="5715000"/>
          <a:ext cx="7400925" cy="0"/>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9</xdr:col>
      <xdr:colOff>95250</xdr:colOff>
      <xdr:row>32</xdr:row>
      <xdr:rowOff>85725</xdr:rowOff>
    </xdr:from>
    <xdr:to>
      <xdr:col>9</xdr:col>
      <xdr:colOff>95250</xdr:colOff>
      <xdr:row>35</xdr:row>
      <xdr:rowOff>114300</xdr:rowOff>
    </xdr:to>
    <xdr:sp>
      <xdr:nvSpPr>
        <xdr:cNvPr id="3" name="Line 39"/>
        <xdr:cNvSpPr>
          <a:spLocks/>
        </xdr:cNvSpPr>
      </xdr:nvSpPr>
      <xdr:spPr>
        <a:xfrm flipH="1">
          <a:off x="7505700" y="5210175"/>
          <a:ext cx="0" cy="514350"/>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8</xdr:col>
      <xdr:colOff>809625</xdr:colOff>
      <xdr:row>32</xdr:row>
      <xdr:rowOff>104775</xdr:rowOff>
    </xdr:from>
    <xdr:to>
      <xdr:col>9</xdr:col>
      <xdr:colOff>85725</xdr:colOff>
      <xdr:row>32</xdr:row>
      <xdr:rowOff>123825</xdr:rowOff>
    </xdr:to>
    <xdr:sp>
      <xdr:nvSpPr>
        <xdr:cNvPr id="4" name="Line 40"/>
        <xdr:cNvSpPr>
          <a:spLocks/>
        </xdr:cNvSpPr>
      </xdr:nvSpPr>
      <xdr:spPr>
        <a:xfrm flipH="1" flipV="1">
          <a:off x="7362825" y="5229225"/>
          <a:ext cx="133350" cy="19050"/>
        </a:xfrm>
        <a:prstGeom prst="line">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0</xdr:col>
      <xdr:colOff>114300</xdr:colOff>
      <xdr:row>25</xdr:row>
      <xdr:rowOff>76200</xdr:rowOff>
    </xdr:from>
    <xdr:to>
      <xdr:col>1</xdr:col>
      <xdr:colOff>38100</xdr:colOff>
      <xdr:row>25</xdr:row>
      <xdr:rowOff>95250</xdr:rowOff>
    </xdr:to>
    <xdr:sp>
      <xdr:nvSpPr>
        <xdr:cNvPr id="5" name="Line 41"/>
        <xdr:cNvSpPr>
          <a:spLocks/>
        </xdr:cNvSpPr>
      </xdr:nvSpPr>
      <xdr:spPr>
        <a:xfrm flipV="1">
          <a:off x="114300" y="4067175"/>
          <a:ext cx="114300" cy="19050"/>
        </a:xfrm>
        <a:prstGeom prst="line">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9</xdr:col>
      <xdr:colOff>104775</xdr:colOff>
      <xdr:row>12</xdr:row>
      <xdr:rowOff>104775</xdr:rowOff>
    </xdr:from>
    <xdr:to>
      <xdr:col>9</xdr:col>
      <xdr:colOff>104775</xdr:colOff>
      <xdr:row>32</xdr:row>
      <xdr:rowOff>76200</xdr:rowOff>
    </xdr:to>
    <xdr:sp>
      <xdr:nvSpPr>
        <xdr:cNvPr id="6" name="Line 42"/>
        <xdr:cNvSpPr>
          <a:spLocks/>
        </xdr:cNvSpPr>
      </xdr:nvSpPr>
      <xdr:spPr>
        <a:xfrm flipV="1">
          <a:off x="7515225" y="1990725"/>
          <a:ext cx="0" cy="320992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8</xdr:col>
      <xdr:colOff>819150</xdr:colOff>
      <xdr:row>12</xdr:row>
      <xdr:rowOff>114300</xdr:rowOff>
    </xdr:from>
    <xdr:to>
      <xdr:col>9</xdr:col>
      <xdr:colOff>104775</xdr:colOff>
      <xdr:row>12</xdr:row>
      <xdr:rowOff>114300</xdr:rowOff>
    </xdr:to>
    <xdr:sp>
      <xdr:nvSpPr>
        <xdr:cNvPr id="7" name="Line 43"/>
        <xdr:cNvSpPr>
          <a:spLocks/>
        </xdr:cNvSpPr>
      </xdr:nvSpPr>
      <xdr:spPr>
        <a:xfrm flipH="1">
          <a:off x="7372350" y="2000250"/>
          <a:ext cx="142875" cy="0"/>
        </a:xfrm>
        <a:prstGeom prst="line">
          <a:avLst/>
        </a:prstGeom>
        <a:noFill/>
        <a:ln w="19050" cmpd="sng">
          <a:solidFill>
            <a:srgbClr val="FF0000"/>
          </a:solidFill>
          <a:prstDash val="sysDash"/>
          <a:headEnd type="none"/>
          <a:tailEnd type="triangle"/>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9</xdr:col>
      <xdr:colOff>104775</xdr:colOff>
      <xdr:row>2</xdr:row>
      <xdr:rowOff>104775</xdr:rowOff>
    </xdr:from>
    <xdr:to>
      <xdr:col>9</xdr:col>
      <xdr:colOff>104775</xdr:colOff>
      <xdr:row>12</xdr:row>
      <xdr:rowOff>85725</xdr:rowOff>
    </xdr:to>
    <xdr:sp>
      <xdr:nvSpPr>
        <xdr:cNvPr id="8" name="Line 56"/>
        <xdr:cNvSpPr>
          <a:spLocks/>
        </xdr:cNvSpPr>
      </xdr:nvSpPr>
      <xdr:spPr>
        <a:xfrm flipV="1">
          <a:off x="7515225" y="428625"/>
          <a:ext cx="0" cy="154305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5</xdr:col>
      <xdr:colOff>428625</xdr:colOff>
      <xdr:row>2</xdr:row>
      <xdr:rowOff>104775</xdr:rowOff>
    </xdr:from>
    <xdr:to>
      <xdr:col>9</xdr:col>
      <xdr:colOff>95250</xdr:colOff>
      <xdr:row>2</xdr:row>
      <xdr:rowOff>104775</xdr:rowOff>
    </xdr:to>
    <xdr:sp>
      <xdr:nvSpPr>
        <xdr:cNvPr id="9" name="Line 57"/>
        <xdr:cNvSpPr>
          <a:spLocks/>
        </xdr:cNvSpPr>
      </xdr:nvSpPr>
      <xdr:spPr>
        <a:xfrm>
          <a:off x="4162425" y="428625"/>
          <a:ext cx="3343275" cy="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5</xdr:col>
      <xdr:colOff>0</xdr:colOff>
      <xdr:row>2</xdr:row>
      <xdr:rowOff>104775</xdr:rowOff>
    </xdr:from>
    <xdr:to>
      <xdr:col>5</xdr:col>
      <xdr:colOff>457200</xdr:colOff>
      <xdr:row>4</xdr:row>
      <xdr:rowOff>142875</xdr:rowOff>
    </xdr:to>
    <xdr:sp>
      <xdr:nvSpPr>
        <xdr:cNvPr id="10" name="Line 58"/>
        <xdr:cNvSpPr>
          <a:spLocks/>
        </xdr:cNvSpPr>
      </xdr:nvSpPr>
      <xdr:spPr>
        <a:xfrm flipH="1">
          <a:off x="3733800" y="428625"/>
          <a:ext cx="457200" cy="304800"/>
        </a:xfrm>
        <a:prstGeom prst="line">
          <a:avLst/>
        </a:prstGeom>
        <a:noFill/>
        <a:ln w="19050" cmpd="sng">
          <a:solidFill>
            <a:srgbClr val="FF0000"/>
          </a:solidFill>
          <a:prstDash val="sysDash"/>
          <a:headEnd type="none"/>
          <a:tailEnd type="triangle"/>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0</xdr:col>
      <xdr:colOff>104775</xdr:colOff>
      <xdr:row>25</xdr:row>
      <xdr:rowOff>85725</xdr:rowOff>
    </xdr:from>
    <xdr:to>
      <xdr:col>0</xdr:col>
      <xdr:colOff>114300</xdr:colOff>
      <xdr:row>35</xdr:row>
      <xdr:rowOff>104775</xdr:rowOff>
    </xdr:to>
    <xdr:sp>
      <xdr:nvSpPr>
        <xdr:cNvPr id="11" name="Line 37"/>
        <xdr:cNvSpPr>
          <a:spLocks/>
        </xdr:cNvSpPr>
      </xdr:nvSpPr>
      <xdr:spPr>
        <a:xfrm flipH="1">
          <a:off x="104775" y="4076700"/>
          <a:ext cx="9525" cy="1638300"/>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riffith@montana.edu" TargetMode="External" /><Relationship Id="rId2" Type="http://schemas.openxmlformats.org/officeDocument/2006/relationships/hyperlink" Target="http://www.montana.edu/softwaredownloads/" TargetMode="External" /><Relationship Id="rId3" Type="http://schemas.openxmlformats.org/officeDocument/2006/relationships/hyperlink" Target="http://risknavigatorsrm.com/"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transitionEvaluation="1"/>
  <dimension ref="A11:J68"/>
  <sheetViews>
    <sheetView showGridLines="0" tabSelected="1" zoomScale="90" zoomScaleNormal="90" zoomScalePageLayoutView="0" workbookViewId="0" topLeftCell="A1">
      <selection activeCell="I11" sqref="I11"/>
    </sheetView>
  </sheetViews>
  <sheetFormatPr defaultColWidth="9.7109375" defaultRowHeight="12.75"/>
  <cols>
    <col min="2" max="2" width="4.00390625" style="0" customWidth="1"/>
    <col min="3" max="3" width="9.7109375" style="0" customWidth="1"/>
    <col min="4" max="6" width="21.7109375" style="0" customWidth="1"/>
  </cols>
  <sheetData>
    <row r="11" spans="3:7" ht="15.75">
      <c r="C11" s="116" t="s">
        <v>272</v>
      </c>
      <c r="D11" s="116"/>
      <c r="E11" s="116"/>
      <c r="F11" s="623" t="s">
        <v>279</v>
      </c>
      <c r="G11" s="623"/>
    </row>
    <row r="12" spans="3:7" ht="15.75">
      <c r="C12" s="116" t="s">
        <v>273</v>
      </c>
      <c r="D12" s="116"/>
      <c r="E12" s="116"/>
      <c r="F12" s="624" t="s">
        <v>693</v>
      </c>
      <c r="G12" s="116"/>
    </row>
    <row r="13" spans="3:7" ht="15.75">
      <c r="C13" s="116" t="s">
        <v>274</v>
      </c>
      <c r="D13" s="116"/>
      <c r="E13" s="116"/>
      <c r="F13" s="116"/>
      <c r="G13" s="116"/>
    </row>
    <row r="14" spans="3:7" ht="15.75">
      <c r="C14" s="116" t="s">
        <v>275</v>
      </c>
      <c r="D14" s="116"/>
      <c r="E14" s="116"/>
      <c r="F14" s="116"/>
      <c r="G14" s="116"/>
    </row>
    <row r="15" spans="3:7" ht="15.75">
      <c r="C15" s="450" t="s">
        <v>276</v>
      </c>
      <c r="D15" s="116"/>
      <c r="E15" s="116"/>
      <c r="F15" s="116"/>
      <c r="G15" s="116"/>
    </row>
    <row r="16" spans="3:7" ht="15.75">
      <c r="C16" s="116" t="s">
        <v>277</v>
      </c>
      <c r="D16" s="116"/>
      <c r="E16" s="116"/>
      <c r="F16" s="116"/>
      <c r="G16" s="116"/>
    </row>
    <row r="17" spans="3:7" ht="15.75">
      <c r="C17" s="116"/>
      <c r="D17" s="116"/>
      <c r="E17" s="116"/>
      <c r="F17" s="116"/>
      <c r="G17" s="116"/>
    </row>
    <row r="18" spans="3:7" ht="15.75">
      <c r="C18" s="116" t="s">
        <v>278</v>
      </c>
      <c r="D18" s="116"/>
      <c r="E18" s="116"/>
      <c r="F18" s="116"/>
      <c r="G18" s="116"/>
    </row>
    <row r="19" spans="3:7" ht="15.75">
      <c r="C19" s="450" t="s">
        <v>691</v>
      </c>
      <c r="D19" s="116"/>
      <c r="E19" s="116"/>
      <c r="F19" s="116"/>
      <c r="G19" s="116"/>
    </row>
    <row r="20" spans="3:7" ht="15.75">
      <c r="C20" s="116" t="s">
        <v>594</v>
      </c>
      <c r="D20" s="116"/>
      <c r="E20" s="116"/>
      <c r="F20" s="116"/>
      <c r="G20" s="116"/>
    </row>
    <row r="21" spans="3:7" ht="15.75">
      <c r="C21" s="450" t="s">
        <v>692</v>
      </c>
      <c r="D21" s="116"/>
      <c r="E21" s="116"/>
      <c r="F21" s="116"/>
      <c r="G21" s="116"/>
    </row>
    <row r="24" spans="1:10" ht="12.75">
      <c r="A24" s="3" t="s">
        <v>0</v>
      </c>
      <c r="B24" s="4"/>
      <c r="C24" s="5" t="s">
        <v>1</v>
      </c>
      <c r="D24" s="6" t="s">
        <v>2</v>
      </c>
      <c r="E24" s="4"/>
      <c r="F24" s="4"/>
      <c r="G24" s="4"/>
      <c r="H24" s="4"/>
      <c r="I24" s="7"/>
      <c r="J24" s="7"/>
    </row>
    <row r="25" spans="1:10" ht="12.75">
      <c r="A25" s="3"/>
      <c r="B25" s="4"/>
      <c r="C25" s="5"/>
      <c r="D25" s="6"/>
      <c r="E25" s="4"/>
      <c r="F25" s="4"/>
      <c r="G25" s="4"/>
      <c r="H25" s="4"/>
      <c r="I25" s="7"/>
      <c r="J25" s="7"/>
    </row>
    <row r="26" spans="1:10" ht="12.75">
      <c r="A26" s="3"/>
      <c r="B26" s="4"/>
      <c r="C26" s="5"/>
      <c r="D26" s="6"/>
      <c r="E26" s="4"/>
      <c r="F26" s="4"/>
      <c r="G26" s="4"/>
      <c r="H26" s="4"/>
      <c r="I26" s="7"/>
      <c r="J26" s="7"/>
    </row>
    <row r="27" spans="1:10" ht="12.75">
      <c r="A27" s="3"/>
      <c r="B27" s="4"/>
      <c r="C27" s="5"/>
      <c r="D27" s="6"/>
      <c r="E27" s="4"/>
      <c r="F27" s="4"/>
      <c r="G27" s="4"/>
      <c r="H27" s="4"/>
      <c r="I27" s="7"/>
      <c r="J27" s="7"/>
    </row>
    <row r="28" spans="1:10" ht="12.75">
      <c r="A28" s="3"/>
      <c r="B28" s="4"/>
      <c r="C28" s="5"/>
      <c r="D28" s="6"/>
      <c r="E28" s="4"/>
      <c r="F28" s="4"/>
      <c r="G28" s="4"/>
      <c r="H28" s="4"/>
      <c r="I28" s="7"/>
      <c r="J28" s="7"/>
    </row>
    <row r="29" spans="1:10" ht="12.75">
      <c r="A29" s="3"/>
      <c r="B29" s="4"/>
      <c r="C29" s="5"/>
      <c r="D29" s="6"/>
      <c r="E29" s="4"/>
      <c r="F29" s="4"/>
      <c r="G29" s="4"/>
      <c r="H29" s="4"/>
      <c r="I29" s="7"/>
      <c r="J29" s="7"/>
    </row>
    <row r="30" spans="1:10" ht="12.75">
      <c r="A30" s="3"/>
      <c r="B30" s="4"/>
      <c r="C30" s="5"/>
      <c r="D30" s="6"/>
      <c r="E30" s="4"/>
      <c r="F30" s="4"/>
      <c r="G30" s="4"/>
      <c r="H30" s="4"/>
      <c r="I30" s="7"/>
      <c r="J30" s="7"/>
    </row>
    <row r="31" spans="1:10" ht="12.75">
      <c r="A31" s="3"/>
      <c r="B31" s="4"/>
      <c r="C31" s="5"/>
      <c r="D31" s="6"/>
      <c r="E31" s="4"/>
      <c r="F31" s="4"/>
      <c r="G31" s="4"/>
      <c r="H31" s="4"/>
      <c r="I31" s="7"/>
      <c r="J31" s="7"/>
    </row>
    <row r="32" spans="1:10" ht="12.75">
      <c r="A32" s="3"/>
      <c r="B32" s="4"/>
      <c r="C32" s="5"/>
      <c r="D32" s="6"/>
      <c r="E32" s="4"/>
      <c r="F32" s="4"/>
      <c r="G32" s="4"/>
      <c r="H32" s="4"/>
      <c r="I32" s="7"/>
      <c r="J32" s="7"/>
    </row>
    <row r="33" spans="1:10" ht="12.75">
      <c r="A33" s="3"/>
      <c r="B33" s="4"/>
      <c r="C33" s="5"/>
      <c r="D33" s="6"/>
      <c r="E33" s="4"/>
      <c r="F33" s="4"/>
      <c r="G33" s="4"/>
      <c r="H33" s="4"/>
      <c r="I33" s="7"/>
      <c r="J33" s="7"/>
    </row>
    <row r="34" spans="1:10" ht="12.75">
      <c r="A34" s="3"/>
      <c r="B34" s="4"/>
      <c r="C34" s="5"/>
      <c r="D34" s="6"/>
      <c r="E34" s="4"/>
      <c r="F34" s="4"/>
      <c r="G34" s="4"/>
      <c r="H34" s="4"/>
      <c r="I34" s="7"/>
      <c r="J34" s="7"/>
    </row>
    <row r="35" spans="1:10" ht="12.75">
      <c r="A35" s="3"/>
      <c r="B35" s="4"/>
      <c r="C35" s="5"/>
      <c r="D35" s="6"/>
      <c r="E35" s="4"/>
      <c r="F35" s="4"/>
      <c r="G35" s="4"/>
      <c r="H35" s="4"/>
      <c r="I35" s="7"/>
      <c r="J35" s="7"/>
    </row>
    <row r="36" spans="1:10" ht="12.75">
      <c r="A36" s="3"/>
      <c r="B36" s="4"/>
      <c r="C36" s="5"/>
      <c r="D36" s="6"/>
      <c r="E36" s="4"/>
      <c r="F36" s="4"/>
      <c r="G36" s="4"/>
      <c r="H36" s="4"/>
      <c r="I36" s="7"/>
      <c r="J36" s="7"/>
    </row>
    <row r="37" spans="1:10" ht="12.75">
      <c r="A37" s="3"/>
      <c r="B37" s="4"/>
      <c r="C37" s="5"/>
      <c r="D37" s="6"/>
      <c r="E37" s="4"/>
      <c r="F37" s="4"/>
      <c r="G37" s="4"/>
      <c r="H37" s="4"/>
      <c r="I37" s="7"/>
      <c r="J37" s="7"/>
    </row>
    <row r="38" spans="1:10" ht="12.75">
      <c r="A38" s="3"/>
      <c r="B38" s="8"/>
      <c r="C38" s="7"/>
      <c r="D38" s="7"/>
      <c r="E38" s="7"/>
      <c r="F38" s="7"/>
      <c r="G38" s="7"/>
      <c r="H38" s="7"/>
      <c r="I38" s="7"/>
      <c r="J38" s="7"/>
    </row>
    <row r="39" spans="1:10" ht="12.75">
      <c r="A39" s="3"/>
      <c r="B39" s="8"/>
      <c r="C39" s="7"/>
      <c r="D39" s="7"/>
      <c r="E39" s="7"/>
      <c r="F39" s="7"/>
      <c r="G39" s="7"/>
      <c r="H39" s="7"/>
      <c r="I39" s="7"/>
      <c r="J39" s="7"/>
    </row>
    <row r="40" spans="1:10" ht="12.75">
      <c r="A40" s="3"/>
      <c r="B40" s="8"/>
      <c r="C40" s="7"/>
      <c r="D40" s="7"/>
      <c r="E40" s="7"/>
      <c r="F40" s="7"/>
      <c r="G40" s="7"/>
      <c r="H40" s="7"/>
      <c r="I40" s="7"/>
      <c r="J40" s="7"/>
    </row>
    <row r="41" spans="1:10" ht="12.75">
      <c r="A41" s="3"/>
      <c r="B41" s="8"/>
      <c r="C41" s="7"/>
      <c r="D41" s="7"/>
      <c r="E41" s="7"/>
      <c r="F41" s="7"/>
      <c r="G41" s="7"/>
      <c r="H41" s="7"/>
      <c r="I41" s="7"/>
      <c r="J41" s="7"/>
    </row>
    <row r="42" spans="1:10" ht="12.75">
      <c r="A42" s="3"/>
      <c r="B42" s="8"/>
      <c r="C42" s="7"/>
      <c r="D42" s="7"/>
      <c r="E42" s="7"/>
      <c r="F42" s="7"/>
      <c r="G42" s="7"/>
      <c r="H42" s="7"/>
      <c r="I42" s="7"/>
      <c r="J42" s="7"/>
    </row>
    <row r="43" spans="1:10" ht="12.75">
      <c r="A43" s="3"/>
      <c r="B43" s="7"/>
      <c r="C43" s="7"/>
      <c r="D43" s="7"/>
      <c r="E43" s="7"/>
      <c r="F43" s="8"/>
      <c r="G43" s="7"/>
      <c r="H43" s="7"/>
      <c r="I43" s="7"/>
      <c r="J43" s="7"/>
    </row>
    <row r="44" spans="1:10" ht="12.75">
      <c r="A44" s="3"/>
      <c r="B44" s="8"/>
      <c r="C44" s="7"/>
      <c r="D44" s="7"/>
      <c r="E44" s="7"/>
      <c r="F44" s="7"/>
      <c r="G44" s="7"/>
      <c r="H44" s="7"/>
      <c r="I44" s="7"/>
      <c r="J44" s="7"/>
    </row>
    <row r="45" spans="1:10" ht="12.75">
      <c r="A45" s="3"/>
      <c r="B45" s="8"/>
      <c r="C45" s="7"/>
      <c r="D45" s="7"/>
      <c r="E45" s="7"/>
      <c r="F45" s="7"/>
      <c r="G45" s="7"/>
      <c r="H45" s="7"/>
      <c r="I45" s="7"/>
      <c r="J45" s="7"/>
    </row>
    <row r="46" spans="1:10" ht="12.75">
      <c r="A46" s="7"/>
      <c r="B46" s="8"/>
      <c r="C46" s="7"/>
      <c r="D46" s="8"/>
      <c r="E46" s="7"/>
      <c r="F46" s="7"/>
      <c r="G46" s="7"/>
      <c r="H46" s="7"/>
      <c r="I46" s="7"/>
      <c r="J46" s="7"/>
    </row>
    <row r="47" spans="1:10" ht="12.75">
      <c r="A47" s="7"/>
      <c r="B47" s="8"/>
      <c r="C47" s="7"/>
      <c r="D47" s="8"/>
      <c r="E47" s="7"/>
      <c r="F47" s="7"/>
      <c r="G47" s="7"/>
      <c r="H47" s="7"/>
      <c r="I47" s="7"/>
      <c r="J47" s="7"/>
    </row>
    <row r="48" spans="1:10" ht="12.75">
      <c r="A48" s="7"/>
      <c r="B48" s="8"/>
      <c r="C48" s="7"/>
      <c r="D48" s="8"/>
      <c r="E48" s="7"/>
      <c r="F48" s="7"/>
      <c r="G48" s="7"/>
      <c r="H48" s="7"/>
      <c r="I48" s="7"/>
      <c r="J48" s="7"/>
    </row>
    <row r="49" spans="1:10" ht="12.75">
      <c r="A49" s="7"/>
      <c r="B49" s="8"/>
      <c r="C49" s="7"/>
      <c r="D49" s="8"/>
      <c r="E49" s="7"/>
      <c r="F49" s="7"/>
      <c r="G49" s="7"/>
      <c r="H49" s="7"/>
      <c r="I49" s="7"/>
      <c r="J49" s="7"/>
    </row>
    <row r="50" spans="1:10" ht="12.75">
      <c r="A50" s="7"/>
      <c r="B50" s="8"/>
      <c r="C50" s="7"/>
      <c r="D50" s="8"/>
      <c r="E50" s="7"/>
      <c r="F50" s="7"/>
      <c r="G50" s="7"/>
      <c r="H50" s="7"/>
      <c r="I50" s="7"/>
      <c r="J50" s="7"/>
    </row>
    <row r="51" spans="1:10" ht="12.75">
      <c r="A51" s="7"/>
      <c r="B51" s="8"/>
      <c r="C51" s="7"/>
      <c r="D51" s="8"/>
      <c r="E51" s="7"/>
      <c r="F51" s="7"/>
      <c r="G51" s="7"/>
      <c r="H51" s="7"/>
      <c r="I51" s="7"/>
      <c r="J51" s="7"/>
    </row>
    <row r="52" spans="1:10" ht="12.75">
      <c r="A52" s="7"/>
      <c r="B52" s="8"/>
      <c r="C52" s="7"/>
      <c r="D52" s="8"/>
      <c r="E52" s="7"/>
      <c r="F52" s="7"/>
      <c r="G52" s="7"/>
      <c r="H52" s="7"/>
      <c r="I52" s="7"/>
      <c r="J52" s="7"/>
    </row>
    <row r="53" spans="1:10" ht="12.75">
      <c r="A53" s="7"/>
      <c r="B53" s="8"/>
      <c r="C53" s="7"/>
      <c r="D53" s="8"/>
      <c r="E53" s="7"/>
      <c r="F53" s="7"/>
      <c r="G53" s="7"/>
      <c r="H53" s="7"/>
      <c r="I53" s="7"/>
      <c r="J53" s="7"/>
    </row>
    <row r="54" spans="1:10" ht="12.75">
      <c r="A54" s="7"/>
      <c r="B54" s="8"/>
      <c r="C54" s="7"/>
      <c r="D54" s="8"/>
      <c r="E54" s="7"/>
      <c r="F54" s="7"/>
      <c r="G54" s="7"/>
      <c r="H54" s="7"/>
      <c r="I54" s="7"/>
      <c r="J54" s="7"/>
    </row>
    <row r="55" spans="1:10" ht="12.75">
      <c r="A55" s="7"/>
      <c r="B55" s="8"/>
      <c r="C55" s="7"/>
      <c r="D55" s="8"/>
      <c r="E55" s="7"/>
      <c r="F55" s="7"/>
      <c r="G55" s="7"/>
      <c r="H55" s="7"/>
      <c r="I55" s="7"/>
      <c r="J55" s="7"/>
    </row>
    <row r="56" spans="1:10" ht="12.75">
      <c r="A56" s="7"/>
      <c r="B56" s="8"/>
      <c r="C56" s="7"/>
      <c r="D56" s="8"/>
      <c r="E56" s="7"/>
      <c r="F56" s="7"/>
      <c r="G56" s="7"/>
      <c r="H56" s="7"/>
      <c r="I56" s="7"/>
      <c r="J56" s="7"/>
    </row>
    <row r="57" spans="1:10" ht="12.75">
      <c r="A57" s="7"/>
      <c r="B57" s="8"/>
      <c r="C57" s="7"/>
      <c r="D57" s="8"/>
      <c r="E57" s="7"/>
      <c r="F57" s="7"/>
      <c r="G57" s="7"/>
      <c r="H57" s="7"/>
      <c r="I57" s="7"/>
      <c r="J57" s="7"/>
    </row>
    <row r="58" spans="1:10" ht="12.75">
      <c r="A58" s="7"/>
      <c r="B58" s="8"/>
      <c r="C58" s="7"/>
      <c r="D58" s="8"/>
      <c r="E58" s="7"/>
      <c r="F58" s="7"/>
      <c r="G58" s="7"/>
      <c r="H58" s="7"/>
      <c r="I58" s="7"/>
      <c r="J58" s="7"/>
    </row>
    <row r="59" spans="1:10" ht="12.75">
      <c r="A59" s="7"/>
      <c r="B59" s="8"/>
      <c r="C59" s="7"/>
      <c r="D59" s="8"/>
      <c r="E59" s="7"/>
      <c r="F59" s="7"/>
      <c r="G59" s="7"/>
      <c r="H59" s="7"/>
      <c r="I59" s="7"/>
      <c r="J59" s="7"/>
    </row>
    <row r="60" spans="1:10" ht="13.5">
      <c r="A60" s="9" t="s">
        <v>339</v>
      </c>
      <c r="B60" s="8"/>
      <c r="C60" s="7"/>
      <c r="D60" s="8"/>
      <c r="E60" s="7"/>
      <c r="F60" s="7"/>
      <c r="G60" s="7"/>
      <c r="H60" s="7"/>
      <c r="I60" s="7"/>
      <c r="J60" s="7"/>
    </row>
    <row r="61" spans="1:10" ht="13.5">
      <c r="A61" s="10" t="s">
        <v>340</v>
      </c>
      <c r="B61" s="8"/>
      <c r="C61" s="7"/>
      <c r="D61" s="8"/>
      <c r="E61" s="7"/>
      <c r="F61" s="7"/>
      <c r="G61" s="7"/>
      <c r="H61" s="7"/>
      <c r="I61" s="7"/>
      <c r="J61" s="7"/>
    </row>
    <row r="62" spans="1:10" ht="13.5">
      <c r="A62" s="10"/>
      <c r="B62" s="8"/>
      <c r="C62" s="7"/>
      <c r="D62" s="8"/>
      <c r="E62" s="7"/>
      <c r="F62" s="7"/>
      <c r="G62" s="7"/>
      <c r="H62" s="7"/>
      <c r="I62" s="7"/>
      <c r="J62" s="7"/>
    </row>
    <row r="63" spans="1:10" ht="12.75">
      <c r="A63" s="7"/>
      <c r="B63" s="7"/>
      <c r="C63" s="7"/>
      <c r="D63" s="7"/>
      <c r="E63" s="7"/>
      <c r="F63" s="7"/>
      <c r="G63" s="7"/>
      <c r="H63" s="7"/>
      <c r="I63" s="7"/>
      <c r="J63" s="7"/>
    </row>
    <row r="64" spans="2:10" ht="12.75">
      <c r="B64" s="7"/>
      <c r="C64" s="7"/>
      <c r="D64" s="7"/>
      <c r="E64" s="7"/>
      <c r="F64" s="7"/>
      <c r="G64" s="7"/>
      <c r="H64" s="7"/>
      <c r="I64" s="7"/>
      <c r="J64" s="7"/>
    </row>
    <row r="65" spans="2:10" ht="12.75">
      <c r="B65" s="7"/>
      <c r="C65" s="7"/>
      <c r="D65" s="7"/>
      <c r="E65" s="7"/>
      <c r="F65" s="7"/>
      <c r="G65" s="7"/>
      <c r="H65" s="7"/>
      <c r="I65" s="7"/>
      <c r="J65" s="7"/>
    </row>
    <row r="66" spans="2:10" ht="12.75">
      <c r="B66" s="7"/>
      <c r="C66" s="7"/>
      <c r="D66" s="7"/>
      <c r="E66" s="7"/>
      <c r="F66" s="7"/>
      <c r="G66" s="7"/>
      <c r="H66" s="7"/>
      <c r="I66" s="7"/>
      <c r="J66" s="7"/>
    </row>
    <row r="67" spans="1:10" ht="12.75">
      <c r="A67" s="7"/>
      <c r="B67" s="7"/>
      <c r="C67" s="7"/>
      <c r="D67" s="7"/>
      <c r="E67" s="7"/>
      <c r="F67" s="7"/>
      <c r="G67" s="7"/>
      <c r="H67" s="7"/>
      <c r="I67" s="7"/>
      <c r="J67" s="7"/>
    </row>
    <row r="68" spans="1:10" ht="12.75">
      <c r="A68" s="7"/>
      <c r="B68" s="7"/>
      <c r="C68" s="7"/>
      <c r="D68" s="7"/>
      <c r="E68" s="7"/>
      <c r="F68" s="7"/>
      <c r="G68" s="7"/>
      <c r="H68" s="7"/>
      <c r="I68" s="7"/>
      <c r="J68" s="7"/>
    </row>
  </sheetData>
  <sheetProtection formatCells="0" formatColumns="0" formatRows="0"/>
  <hyperlinks>
    <hyperlink ref="C15" r:id="rId1" display="griffith@montana.edu"/>
    <hyperlink ref="C19" r:id="rId2" display="http://www.montana.edu/softwaredownloads/ "/>
    <hyperlink ref="C21" r:id="rId3" display="http://risknavigatorsrm.com/ "/>
  </hyperlinks>
  <printOptions/>
  <pageMargins left="0.5" right="0.5" top="0.5" bottom="0.5" header="0.5" footer="0.5"/>
  <pageSetup horizontalDpi="300" verticalDpi="300" orientation="portrait" r:id="rId5"/>
  <drawing r:id="rId4"/>
</worksheet>
</file>

<file path=xl/worksheets/sheet10.xml><?xml version="1.0" encoding="utf-8"?>
<worksheet xmlns="http://schemas.openxmlformats.org/spreadsheetml/2006/main" xmlns:r="http://schemas.openxmlformats.org/officeDocument/2006/relationships">
  <dimension ref="A1:AE120"/>
  <sheetViews>
    <sheetView showGridLines="0" zoomScale="80" zoomScaleNormal="80" workbookViewId="0" topLeftCell="A1">
      <selection activeCell="B43" sqref="B43"/>
    </sheetView>
  </sheetViews>
  <sheetFormatPr defaultColWidth="9.140625" defaultRowHeight="12.75"/>
  <cols>
    <col min="1" max="1" width="4.57421875" style="465" customWidth="1"/>
    <col min="2" max="2" width="5.7109375" style="465" customWidth="1"/>
    <col min="3" max="3" width="4.8515625" style="465" customWidth="1"/>
    <col min="4" max="4" width="2.8515625" style="465" customWidth="1"/>
    <col min="5" max="5" width="4.28125" style="465" customWidth="1"/>
    <col min="6" max="6" width="18.8515625" style="465" customWidth="1"/>
    <col min="7" max="7" width="9.8515625" style="465" customWidth="1"/>
    <col min="8" max="8" width="9.00390625" style="465" customWidth="1"/>
    <col min="9" max="9" width="9.421875" style="465" customWidth="1"/>
    <col min="10" max="10" width="8.7109375" style="465" customWidth="1"/>
    <col min="11" max="11" width="2.28125" style="465" customWidth="1"/>
    <col min="12" max="12" width="9.7109375" style="465" customWidth="1"/>
    <col min="13" max="13" width="6.421875" style="465" customWidth="1"/>
    <col min="14" max="14" width="8.421875" style="465" customWidth="1"/>
    <col min="15" max="15" width="7.140625" style="465" customWidth="1"/>
    <col min="16" max="16" width="19.00390625" style="465" customWidth="1"/>
    <col min="17" max="18" width="10.421875" style="465" customWidth="1"/>
    <col min="19" max="19" width="9.00390625" style="465" customWidth="1"/>
    <col min="20" max="20" width="8.57421875" style="465" customWidth="1"/>
    <col min="21" max="28" width="9.140625" style="465" customWidth="1"/>
    <col min="29" max="30" width="14.28125" style="465" customWidth="1"/>
    <col min="31" max="16384" width="9.140625" style="465" customWidth="1"/>
  </cols>
  <sheetData>
    <row r="1" spans="1:20" ht="12.75">
      <c r="A1" s="466"/>
      <c r="B1" s="466"/>
      <c r="C1" s="466"/>
      <c r="D1" s="466"/>
      <c r="E1" s="466"/>
      <c r="F1" s="466"/>
      <c r="G1" s="466"/>
      <c r="H1" s="466"/>
      <c r="I1" s="466"/>
      <c r="J1" s="466"/>
      <c r="K1" s="466"/>
      <c r="L1" s="466"/>
      <c r="M1" s="466"/>
      <c r="N1" s="466"/>
      <c r="O1" s="466"/>
      <c r="P1" s="466"/>
      <c r="Q1" s="466"/>
      <c r="R1" s="466"/>
      <c r="S1" s="466"/>
      <c r="T1" s="466"/>
    </row>
    <row r="2" spans="1:20" ht="12.75">
      <c r="A2" s="475"/>
      <c r="B2" s="475"/>
      <c r="C2" s="475"/>
      <c r="D2" s="475"/>
      <c r="E2" s="475"/>
      <c r="F2" s="475"/>
      <c r="G2" s="475"/>
      <c r="H2" s="475"/>
      <c r="I2" s="475"/>
      <c r="J2" s="475"/>
      <c r="K2" s="475"/>
      <c r="L2" s="475"/>
      <c r="M2" s="475"/>
      <c r="N2" s="475"/>
      <c r="O2" s="475"/>
      <c r="P2" s="475"/>
      <c r="Q2" s="475"/>
      <c r="R2" s="475"/>
      <c r="S2" s="466"/>
      <c r="T2" s="466"/>
    </row>
    <row r="3" spans="1:20" ht="15.75">
      <c r="A3" s="466"/>
      <c r="B3" s="476" t="s">
        <v>627</v>
      </c>
      <c r="C3" s="466"/>
      <c r="D3" s="466"/>
      <c r="E3" s="466"/>
      <c r="F3" s="466"/>
      <c r="G3" s="466"/>
      <c r="H3" s="466"/>
      <c r="I3" s="466"/>
      <c r="J3" s="466"/>
      <c r="K3" s="466"/>
      <c r="L3" s="466"/>
      <c r="M3" s="466"/>
      <c r="N3" s="466"/>
      <c r="O3" s="466"/>
      <c r="P3" s="466"/>
      <c r="Q3" s="466"/>
      <c r="R3" s="466"/>
      <c r="S3" s="466"/>
      <c r="T3" s="466"/>
    </row>
    <row r="4" spans="1:20" ht="12.75">
      <c r="A4" s="466"/>
      <c r="B4" s="477" t="s">
        <v>597</v>
      </c>
      <c r="C4" s="471"/>
      <c r="D4" s="471"/>
      <c r="E4" s="471"/>
      <c r="F4" s="471"/>
      <c r="G4" s="471"/>
      <c r="H4" s="471"/>
      <c r="I4" s="466"/>
      <c r="J4" s="466"/>
      <c r="K4" s="466"/>
      <c r="L4" s="466"/>
      <c r="M4" s="466"/>
      <c r="N4" s="466"/>
      <c r="O4" s="466"/>
      <c r="P4" s="466"/>
      <c r="Q4" s="466"/>
      <c r="R4" s="466"/>
      <c r="S4" s="466"/>
      <c r="T4" s="466"/>
    </row>
    <row r="5" spans="1:20" ht="12.75">
      <c r="A5" s="466"/>
      <c r="B5" s="478" t="s">
        <v>626</v>
      </c>
      <c r="C5" s="471"/>
      <c r="D5" s="471"/>
      <c r="E5" s="471"/>
      <c r="F5" s="471"/>
      <c r="G5" s="471"/>
      <c r="H5" s="471"/>
      <c r="I5" s="466"/>
      <c r="J5" s="466"/>
      <c r="K5" s="466"/>
      <c r="L5" s="466"/>
      <c r="M5" s="466"/>
      <c r="N5" s="466"/>
      <c r="O5" s="466"/>
      <c r="P5" s="466"/>
      <c r="Q5" s="466"/>
      <c r="R5" s="466"/>
      <c r="S5" s="466"/>
      <c r="T5" s="466"/>
    </row>
    <row r="6" spans="1:20" ht="12.75">
      <c r="A6" s="466"/>
      <c r="B6" s="478"/>
      <c r="C6" s="471"/>
      <c r="D6" s="471"/>
      <c r="E6" s="471"/>
      <c r="F6" s="471"/>
      <c r="G6" s="471"/>
      <c r="H6" s="471"/>
      <c r="I6" s="466"/>
      <c r="J6" s="466"/>
      <c r="K6" s="466"/>
      <c r="L6" s="466"/>
      <c r="M6" s="466"/>
      <c r="N6" s="466"/>
      <c r="O6" s="466"/>
      <c r="P6" s="466"/>
      <c r="Q6" s="466"/>
      <c r="R6" s="466"/>
      <c r="S6" s="466"/>
      <c r="T6" s="466"/>
    </row>
    <row r="7" spans="1:20" ht="12.75">
      <c r="A7" s="466"/>
      <c r="B7" s="471" t="s">
        <v>621</v>
      </c>
      <c r="C7" s="471"/>
      <c r="D7" s="471"/>
      <c r="E7" s="471"/>
      <c r="F7" s="471"/>
      <c r="G7" s="471"/>
      <c r="H7" s="471"/>
      <c r="I7" s="466"/>
      <c r="J7" s="466"/>
      <c r="K7" s="466"/>
      <c r="L7" s="466"/>
      <c r="M7" s="466"/>
      <c r="N7" s="466"/>
      <c r="O7" s="466"/>
      <c r="P7" s="466"/>
      <c r="Q7" s="466"/>
      <c r="R7" s="466"/>
      <c r="S7" s="466"/>
      <c r="T7" s="466"/>
    </row>
    <row r="8" spans="1:20" ht="12.75">
      <c r="A8" s="466"/>
      <c r="B8" s="471" t="s">
        <v>622</v>
      </c>
      <c r="C8" s="471"/>
      <c r="D8" s="471"/>
      <c r="E8" s="471"/>
      <c r="F8" s="471"/>
      <c r="G8" s="471"/>
      <c r="H8" s="471"/>
      <c r="I8" s="466"/>
      <c r="J8" s="466"/>
      <c r="K8" s="466"/>
      <c r="L8" s="466"/>
      <c r="M8" s="466"/>
      <c r="N8" s="466"/>
      <c r="O8" s="466"/>
      <c r="P8" s="466"/>
      <c r="Q8" s="466"/>
      <c r="R8" s="466"/>
      <c r="S8" s="466"/>
      <c r="T8" s="466"/>
    </row>
    <row r="9" spans="1:20" ht="12.75">
      <c r="A9" s="466"/>
      <c r="B9" s="471" t="s">
        <v>623</v>
      </c>
      <c r="C9" s="471"/>
      <c r="D9" s="471"/>
      <c r="E9" s="471"/>
      <c r="F9" s="471"/>
      <c r="G9" s="471"/>
      <c r="H9" s="471"/>
      <c r="I9" s="466"/>
      <c r="J9" s="466"/>
      <c r="K9" s="466"/>
      <c r="L9" s="466"/>
      <c r="M9" s="466"/>
      <c r="N9" s="466"/>
      <c r="O9" s="466"/>
      <c r="P9" s="466"/>
      <c r="Q9" s="466"/>
      <c r="R9" s="466"/>
      <c r="S9" s="466"/>
      <c r="T9" s="466"/>
    </row>
    <row r="10" spans="1:20" ht="12.75">
      <c r="A10" s="466"/>
      <c r="B10" s="471" t="s">
        <v>624</v>
      </c>
      <c r="C10" s="471"/>
      <c r="D10" s="471"/>
      <c r="E10" s="471"/>
      <c r="F10" s="471"/>
      <c r="G10" s="471"/>
      <c r="H10" s="471"/>
      <c r="I10" s="466"/>
      <c r="J10" s="466"/>
      <c r="K10" s="466"/>
      <c r="L10" s="466"/>
      <c r="M10" s="466"/>
      <c r="N10" s="466"/>
      <c r="O10" s="466"/>
      <c r="P10" s="466"/>
      <c r="Q10" s="466"/>
      <c r="R10" s="466"/>
      <c r="S10" s="466"/>
      <c r="T10" s="466"/>
    </row>
    <row r="11" spans="1:20" ht="12.75">
      <c r="A11" s="466"/>
      <c r="B11" s="471" t="s">
        <v>625</v>
      </c>
      <c r="C11" s="471"/>
      <c r="D11" s="471"/>
      <c r="E11" s="471"/>
      <c r="F11" s="471"/>
      <c r="G11" s="471"/>
      <c r="H11" s="471"/>
      <c r="I11" s="466"/>
      <c r="J11" s="466"/>
      <c r="K11" s="466"/>
      <c r="L11" s="466"/>
      <c r="M11" s="466"/>
      <c r="N11" s="466"/>
      <c r="O11" s="466"/>
      <c r="P11" s="466"/>
      <c r="Q11" s="466"/>
      <c r="R11" s="466"/>
      <c r="S11" s="466"/>
      <c r="T11" s="466"/>
    </row>
    <row r="12" spans="1:20" ht="12.75">
      <c r="A12" s="466"/>
      <c r="B12" s="471" t="s">
        <v>596</v>
      </c>
      <c r="C12" s="471"/>
      <c r="D12" s="471"/>
      <c r="E12" s="471"/>
      <c r="F12" s="471"/>
      <c r="G12" s="471"/>
      <c r="H12" s="471"/>
      <c r="I12" s="466"/>
      <c r="J12" s="466"/>
      <c r="K12" s="466"/>
      <c r="L12" s="466"/>
      <c r="M12" s="466"/>
      <c r="N12" s="466"/>
      <c r="O12" s="466"/>
      <c r="P12" s="466"/>
      <c r="Q12" s="466"/>
      <c r="R12" s="466"/>
      <c r="S12" s="466"/>
      <c r="T12" s="466"/>
    </row>
    <row r="13" spans="1:20" ht="12.75">
      <c r="A13" s="466"/>
      <c r="C13" s="471"/>
      <c r="D13" s="471"/>
      <c r="E13" s="471"/>
      <c r="F13" s="471"/>
      <c r="G13" s="471"/>
      <c r="H13" s="471"/>
      <c r="I13" s="466"/>
      <c r="J13" s="466"/>
      <c r="K13" s="466"/>
      <c r="L13" s="466"/>
      <c r="M13" s="466"/>
      <c r="N13" s="466"/>
      <c r="O13" s="466"/>
      <c r="P13" s="466"/>
      <c r="Q13" s="466"/>
      <c r="R13" s="466"/>
      <c r="S13" s="466"/>
      <c r="T13" s="466"/>
    </row>
    <row r="14" spans="1:31" ht="23.25" customHeight="1">
      <c r="A14" s="479"/>
      <c r="B14" s="481" t="s">
        <v>670</v>
      </c>
      <c r="C14" s="482"/>
      <c r="D14" s="482"/>
      <c r="E14" s="482"/>
      <c r="F14" s="482"/>
      <c r="G14" s="482"/>
      <c r="H14" s="482"/>
      <c r="I14" s="482"/>
      <c r="J14" s="482"/>
      <c r="K14" s="482"/>
      <c r="L14" s="482"/>
      <c r="M14" s="482"/>
      <c r="N14" s="482"/>
      <c r="O14" s="482"/>
      <c r="P14" s="482"/>
      <c r="Q14" s="482"/>
      <c r="R14" s="482"/>
      <c r="S14" s="482"/>
      <c r="T14" s="482"/>
      <c r="Y14" s="466"/>
      <c r="Z14" s="466"/>
      <c r="AA14" s="466"/>
      <c r="AB14" s="466"/>
      <c r="AE14" s="466"/>
    </row>
    <row r="15" spans="1:20" ht="12.75">
      <c r="A15" s="483"/>
      <c r="B15" s="467" t="s">
        <v>620</v>
      </c>
      <c r="C15" s="466"/>
      <c r="D15" s="466"/>
      <c r="E15" s="466"/>
      <c r="F15" s="466"/>
      <c r="G15" s="468" t="s">
        <v>595</v>
      </c>
      <c r="H15" s="468" t="s">
        <v>619</v>
      </c>
      <c r="I15" s="468" t="s">
        <v>599</v>
      </c>
      <c r="J15" s="468" t="s">
        <v>619</v>
      </c>
      <c r="K15" s="466"/>
      <c r="L15" s="467" t="s">
        <v>620</v>
      </c>
      <c r="M15" s="466"/>
      <c r="N15" s="466"/>
      <c r="O15" s="466"/>
      <c r="P15" s="466"/>
      <c r="Q15" s="468" t="s">
        <v>595</v>
      </c>
      <c r="R15" s="468" t="s">
        <v>619</v>
      </c>
      <c r="S15" s="468" t="s">
        <v>599</v>
      </c>
      <c r="T15" s="468" t="s">
        <v>619</v>
      </c>
    </row>
    <row r="16" spans="1:20" ht="14.25">
      <c r="A16" s="483"/>
      <c r="B16" s="484"/>
      <c r="C16" s="485"/>
      <c r="D16" s="485"/>
      <c r="E16" s="486"/>
      <c r="F16" s="487" t="s">
        <v>617</v>
      </c>
      <c r="G16" s="469" t="s">
        <v>601</v>
      </c>
      <c r="H16" s="469" t="s">
        <v>600</v>
      </c>
      <c r="I16" s="469" t="s">
        <v>602</v>
      </c>
      <c r="J16" s="469" t="s">
        <v>598</v>
      </c>
      <c r="K16" s="466"/>
      <c r="L16" s="488"/>
      <c r="M16" s="485"/>
      <c r="N16" s="485"/>
      <c r="O16" s="486"/>
      <c r="P16" s="487" t="s">
        <v>617</v>
      </c>
      <c r="Q16" s="469" t="s">
        <v>601</v>
      </c>
      <c r="R16" s="469" t="s">
        <v>600</v>
      </c>
      <c r="S16" s="469" t="s">
        <v>602</v>
      </c>
      <c r="T16" s="469" t="s">
        <v>598</v>
      </c>
    </row>
    <row r="17" spans="2:20" ht="14.25">
      <c r="B17" s="489" t="s">
        <v>56</v>
      </c>
      <c r="K17" s="466"/>
      <c r="L17" s="489" t="s">
        <v>86</v>
      </c>
      <c r="M17" s="490"/>
      <c r="N17" s="490"/>
      <c r="O17" s="471"/>
      <c r="P17" s="472"/>
      <c r="Q17" s="470"/>
      <c r="R17" s="470"/>
      <c r="S17" s="470"/>
      <c r="T17" s="466"/>
    </row>
    <row r="18" spans="1:20" ht="15">
      <c r="A18" s="466"/>
      <c r="B18" s="491" t="s">
        <v>604</v>
      </c>
      <c r="C18" s="492"/>
      <c r="D18" s="492"/>
      <c r="E18" s="493"/>
      <c r="F18" s="494">
        <f>Ratio_Calc!$J$8</f>
        <v>6.6119357636239595</v>
      </c>
      <c r="G18" s="495">
        <v>0</v>
      </c>
      <c r="H18" s="495">
        <v>5</v>
      </c>
      <c r="I18" s="470"/>
      <c r="J18" s="466"/>
      <c r="K18" s="466"/>
      <c r="L18" s="496" t="s">
        <v>665</v>
      </c>
      <c r="M18" s="497"/>
      <c r="N18" s="497"/>
      <c r="O18" s="498"/>
      <c r="P18" s="499">
        <f>Ratio_Calc!$J$55</f>
        <v>1.2757839467199195</v>
      </c>
      <c r="Q18" s="495">
        <v>0</v>
      </c>
      <c r="R18" s="495">
        <v>5</v>
      </c>
      <c r="S18" s="470"/>
      <c r="T18" s="466"/>
    </row>
    <row r="19" spans="1:20" ht="15">
      <c r="A19" s="466"/>
      <c r="B19" s="491"/>
      <c r="C19" s="492"/>
      <c r="D19" s="492"/>
      <c r="E19" s="493"/>
      <c r="F19" s="470"/>
      <c r="G19" s="495">
        <v>1</v>
      </c>
      <c r="H19" s="495">
        <v>4</v>
      </c>
      <c r="I19" s="470"/>
      <c r="J19" s="466"/>
      <c r="K19" s="466"/>
      <c r="L19" s="492" t="s">
        <v>666</v>
      </c>
      <c r="M19" s="497"/>
      <c r="N19" s="497"/>
      <c r="O19" s="498"/>
      <c r="P19" s="472"/>
      <c r="Q19" s="495">
        <v>0.03</v>
      </c>
      <c r="R19" s="495">
        <v>4</v>
      </c>
      <c r="S19" s="470"/>
      <c r="T19" s="466"/>
    </row>
    <row r="20" spans="1:20" ht="14.25">
      <c r="A20" s="466"/>
      <c r="B20" s="502"/>
      <c r="C20" s="483"/>
      <c r="D20" s="483"/>
      <c r="E20" s="466"/>
      <c r="F20" s="470"/>
      <c r="G20" s="495">
        <v>1.25</v>
      </c>
      <c r="H20" s="495">
        <v>3</v>
      </c>
      <c r="I20" s="470"/>
      <c r="J20" s="466"/>
      <c r="K20" s="466"/>
      <c r="L20" s="489"/>
      <c r="M20" s="490"/>
      <c r="N20" s="490"/>
      <c r="O20" s="471"/>
      <c r="P20" s="472"/>
      <c r="Q20" s="495">
        <v>0.05</v>
      </c>
      <c r="R20" s="495">
        <v>3</v>
      </c>
      <c r="S20" s="470"/>
      <c r="T20" s="466"/>
    </row>
    <row r="21" spans="1:20" ht="14.25">
      <c r="A21" s="466"/>
      <c r="B21" s="502"/>
      <c r="C21" s="483"/>
      <c r="D21" s="483"/>
      <c r="E21" s="466"/>
      <c r="F21" s="470"/>
      <c r="G21" s="495">
        <v>1.6</v>
      </c>
      <c r="H21" s="495">
        <v>2</v>
      </c>
      <c r="I21" s="470"/>
      <c r="J21" s="466"/>
      <c r="K21" s="466"/>
      <c r="L21" s="489"/>
      <c r="M21" s="490"/>
      <c r="N21" s="490"/>
      <c r="O21" s="471"/>
      <c r="P21" s="472"/>
      <c r="Q21" s="495">
        <v>0.07</v>
      </c>
      <c r="R21" s="495">
        <v>2</v>
      </c>
      <c r="S21" s="470"/>
      <c r="T21" s="466"/>
    </row>
    <row r="22" spans="1:30" ht="14.25">
      <c r="A22" s="466"/>
      <c r="B22" s="502"/>
      <c r="C22" s="483"/>
      <c r="D22" s="483"/>
      <c r="E22" s="466"/>
      <c r="F22" s="470"/>
      <c r="G22" s="504">
        <v>2</v>
      </c>
      <c r="H22" s="504">
        <v>1</v>
      </c>
      <c r="I22" s="470"/>
      <c r="J22" s="466"/>
      <c r="K22" s="466"/>
      <c r="L22" s="489"/>
      <c r="M22" s="490"/>
      <c r="N22" s="490"/>
      <c r="O22" s="471"/>
      <c r="P22" s="471"/>
      <c r="Q22" s="504">
        <v>0.1</v>
      </c>
      <c r="R22" s="504">
        <v>1</v>
      </c>
      <c r="S22" s="470"/>
      <c r="T22" s="466"/>
      <c r="W22" s="466"/>
      <c r="X22" s="466"/>
      <c r="Y22" s="466"/>
      <c r="Z22" s="466"/>
      <c r="AC22" s="621" t="s">
        <v>684</v>
      </c>
      <c r="AD22" s="622"/>
    </row>
    <row r="23" spans="1:30" ht="14.25">
      <c r="A23" s="466"/>
      <c r="B23" s="488"/>
      <c r="C23" s="485"/>
      <c r="D23" s="485"/>
      <c r="E23" s="486"/>
      <c r="F23" s="507" t="s">
        <v>618</v>
      </c>
      <c r="G23" s="486"/>
      <c r="H23" s="526">
        <f>IF(F18&lt;0,5,VLOOKUP(F18,G18:H22,2))</f>
        <v>1</v>
      </c>
      <c r="I23" s="505">
        <f>$AC$25</f>
        <v>0.1</v>
      </c>
      <c r="J23" s="523">
        <f>H23*I23</f>
        <v>0.1</v>
      </c>
      <c r="K23" s="466"/>
      <c r="L23" s="488"/>
      <c r="M23" s="485"/>
      <c r="N23" s="485"/>
      <c r="O23" s="486"/>
      <c r="P23" s="507" t="s">
        <v>618</v>
      </c>
      <c r="Q23" s="486"/>
      <c r="R23" s="526">
        <f>IF(P18&lt;0,5,VLOOKUP(P18,Q18:R22,2))</f>
        <v>1</v>
      </c>
      <c r="S23" s="505">
        <f>$AC$28</f>
        <v>0.35</v>
      </c>
      <c r="T23" s="523">
        <f>R23*S23</f>
        <v>0.35</v>
      </c>
      <c r="W23" s="466"/>
      <c r="X23" s="466"/>
      <c r="Y23" s="466"/>
      <c r="Z23" s="466"/>
      <c r="AC23" s="468" t="s">
        <v>610</v>
      </c>
      <c r="AD23" s="468" t="s">
        <v>608</v>
      </c>
    </row>
    <row r="24" spans="1:30" ht="14.25">
      <c r="A24" s="466"/>
      <c r="B24" s="489" t="s">
        <v>65</v>
      </c>
      <c r="C24" s="490"/>
      <c r="D24" s="490"/>
      <c r="E24" s="471"/>
      <c r="F24" s="472"/>
      <c r="G24" s="470"/>
      <c r="H24" s="470"/>
      <c r="I24" s="470"/>
      <c r="J24" s="524"/>
      <c r="K24" s="466"/>
      <c r="L24" s="489" t="s">
        <v>103</v>
      </c>
      <c r="M24" s="490"/>
      <c r="N24" s="490"/>
      <c r="O24" s="471"/>
      <c r="P24" s="471"/>
      <c r="Q24" s="470"/>
      <c r="R24" s="470"/>
      <c r="S24" s="470"/>
      <c r="T24" s="524"/>
      <c r="W24" s="466"/>
      <c r="X24" s="466"/>
      <c r="Y24" s="466"/>
      <c r="Z24" s="466"/>
      <c r="AC24" s="469" t="s">
        <v>609</v>
      </c>
      <c r="AD24" s="469" t="s">
        <v>609</v>
      </c>
    </row>
    <row r="25" spans="1:30" ht="15">
      <c r="A25" s="466"/>
      <c r="B25" s="496" t="s">
        <v>603</v>
      </c>
      <c r="C25" s="497"/>
      <c r="D25" s="497"/>
      <c r="E25" s="498"/>
      <c r="F25" s="510">
        <f>Ratio_Calc!$J$18</f>
        <v>0.8222785904383804</v>
      </c>
      <c r="G25" s="495">
        <v>0</v>
      </c>
      <c r="H25" s="495">
        <v>5</v>
      </c>
      <c r="I25" s="470"/>
      <c r="J25" s="524"/>
      <c r="K25" s="466"/>
      <c r="L25" s="491" t="s">
        <v>688</v>
      </c>
      <c r="M25" s="492"/>
      <c r="N25" s="492"/>
      <c r="O25" s="493"/>
      <c r="P25" s="511">
        <f>Ratio_Calc!$J$89</f>
        <v>0.08133039656396893</v>
      </c>
      <c r="Q25" s="495">
        <v>0</v>
      </c>
      <c r="R25" s="495">
        <v>5</v>
      </c>
      <c r="S25" s="470"/>
      <c r="T25" s="524"/>
      <c r="W25" s="500" t="s">
        <v>604</v>
      </c>
      <c r="X25" s="466"/>
      <c r="Y25" s="466"/>
      <c r="Z25" s="466"/>
      <c r="AC25" s="501">
        <v>0.1</v>
      </c>
      <c r="AD25" s="501">
        <v>0.15</v>
      </c>
    </row>
    <row r="26" spans="1:30" ht="15">
      <c r="A26" s="466"/>
      <c r="B26" s="497"/>
      <c r="C26" s="497"/>
      <c r="D26" s="497"/>
      <c r="E26" s="498"/>
      <c r="F26" s="472"/>
      <c r="G26" s="495">
        <v>0.5</v>
      </c>
      <c r="H26" s="495">
        <v>4</v>
      </c>
      <c r="I26" s="470"/>
      <c r="J26" s="524"/>
      <c r="K26" s="466"/>
      <c r="L26" s="491" t="s">
        <v>667</v>
      </c>
      <c r="M26" s="492"/>
      <c r="N26" s="492"/>
      <c r="O26" s="493"/>
      <c r="P26" s="466"/>
      <c r="Q26" s="495">
        <v>0.1</v>
      </c>
      <c r="R26" s="495">
        <v>4</v>
      </c>
      <c r="S26" s="470"/>
      <c r="T26" s="524"/>
      <c r="W26" s="500" t="s">
        <v>603</v>
      </c>
      <c r="X26" s="466"/>
      <c r="Y26" s="466"/>
      <c r="Z26" s="466"/>
      <c r="AC26" s="501">
        <v>0.35</v>
      </c>
      <c r="AD26" s="501">
        <v>0.2</v>
      </c>
    </row>
    <row r="27" spans="1:30" ht="14.25">
      <c r="A27" s="466"/>
      <c r="B27" s="490"/>
      <c r="C27" s="490"/>
      <c r="D27" s="490"/>
      <c r="E27" s="471"/>
      <c r="F27" s="472"/>
      <c r="G27" s="495">
        <v>0.6</v>
      </c>
      <c r="H27" s="495">
        <v>3</v>
      </c>
      <c r="I27" s="470"/>
      <c r="J27" s="524"/>
      <c r="K27" s="466"/>
      <c r="L27" s="502"/>
      <c r="M27" s="483"/>
      <c r="N27" s="483"/>
      <c r="O27" s="466"/>
      <c r="P27" s="466"/>
      <c r="Q27" s="495">
        <v>0.2</v>
      </c>
      <c r="R27" s="495">
        <v>3</v>
      </c>
      <c r="S27" s="470"/>
      <c r="T27" s="524"/>
      <c r="W27" s="466" t="s">
        <v>605</v>
      </c>
      <c r="X27" s="466"/>
      <c r="Y27" s="466"/>
      <c r="Z27" s="466"/>
      <c r="AC27" s="501">
        <v>0.1</v>
      </c>
      <c r="AD27" s="501">
        <v>0.3</v>
      </c>
    </row>
    <row r="28" spans="1:30" ht="14.25">
      <c r="A28" s="466"/>
      <c r="B28" s="490"/>
      <c r="C28" s="490"/>
      <c r="D28" s="490"/>
      <c r="E28" s="471"/>
      <c r="F28" s="472"/>
      <c r="G28" s="495">
        <v>0.7</v>
      </c>
      <c r="H28" s="495">
        <v>2</v>
      </c>
      <c r="I28" s="470"/>
      <c r="J28" s="524"/>
      <c r="K28" s="466"/>
      <c r="L28" s="512"/>
      <c r="M28" s="466"/>
      <c r="N28" s="466"/>
      <c r="O28" s="466"/>
      <c r="P28" s="466"/>
      <c r="Q28" s="495">
        <v>0.3</v>
      </c>
      <c r="R28" s="495">
        <v>2</v>
      </c>
      <c r="S28" s="470"/>
      <c r="T28" s="524"/>
      <c r="W28" s="466" t="s">
        <v>606</v>
      </c>
      <c r="X28" s="466"/>
      <c r="Y28" s="466"/>
      <c r="Z28" s="466"/>
      <c r="AC28" s="501">
        <v>0.35</v>
      </c>
      <c r="AD28" s="503">
        <f>1-SUM(AD25:AD27)</f>
        <v>0.3500000000000001</v>
      </c>
    </row>
    <row r="29" spans="1:30" ht="12.75">
      <c r="A29" s="466"/>
      <c r="B29" s="490"/>
      <c r="C29" s="490"/>
      <c r="D29" s="490"/>
      <c r="E29" s="471"/>
      <c r="F29" s="472"/>
      <c r="G29" s="504">
        <v>0.8</v>
      </c>
      <c r="H29" s="504">
        <v>1</v>
      </c>
      <c r="I29" s="470"/>
      <c r="J29" s="524"/>
      <c r="K29" s="466"/>
      <c r="L29" s="466"/>
      <c r="M29" s="466"/>
      <c r="N29" s="466"/>
      <c r="O29" s="466"/>
      <c r="P29" s="466"/>
      <c r="Q29" s="504">
        <v>0.4</v>
      </c>
      <c r="R29" s="504">
        <v>1</v>
      </c>
      <c r="S29" s="470"/>
      <c r="T29" s="524"/>
      <c r="W29" s="466" t="s">
        <v>607</v>
      </c>
      <c r="X29" s="466"/>
      <c r="Y29" s="466"/>
      <c r="Z29" s="466"/>
      <c r="AC29" s="505">
        <f>1-SUM(AC25:AC28)</f>
        <v>0.10000000000000009</v>
      </c>
      <c r="AD29" s="506"/>
    </row>
    <row r="30" spans="1:30" ht="12.75">
      <c r="A30" s="466"/>
      <c r="B30" s="485"/>
      <c r="C30" s="485"/>
      <c r="D30" s="485"/>
      <c r="E30" s="486"/>
      <c r="F30" s="507" t="s">
        <v>618</v>
      </c>
      <c r="G30" s="486"/>
      <c r="H30" s="526">
        <f>IF(F25&lt;0,5,VLOOKUP(F25,G25:H29,2))</f>
        <v>1</v>
      </c>
      <c r="I30" s="505">
        <f>$AC$26</f>
        <v>0.35</v>
      </c>
      <c r="J30" s="523">
        <f>H30*I30</f>
        <v>0.35</v>
      </c>
      <c r="K30" s="466"/>
      <c r="L30" s="486"/>
      <c r="M30" s="486"/>
      <c r="N30" s="486"/>
      <c r="O30" s="486"/>
      <c r="P30" s="507" t="s">
        <v>618</v>
      </c>
      <c r="Q30" s="486"/>
      <c r="R30" s="526">
        <f>IF(P25&lt;0,5,VLOOKUP(P25,Q25:R29,2))</f>
        <v>5</v>
      </c>
      <c r="S30" s="505">
        <f>$AC$29</f>
        <v>0.10000000000000009</v>
      </c>
      <c r="T30" s="523">
        <f>R30*S30</f>
        <v>0.5000000000000004</v>
      </c>
      <c r="W30" s="466"/>
      <c r="X30" s="466"/>
      <c r="Y30" s="466"/>
      <c r="Z30" s="508" t="s">
        <v>118</v>
      </c>
      <c r="AC30" s="509">
        <f>SUM(AC25:AC29)</f>
        <v>1</v>
      </c>
      <c r="AD30" s="509">
        <f>SUM(AD25:AD29)</f>
        <v>1</v>
      </c>
    </row>
    <row r="31" spans="1:30" ht="14.25">
      <c r="A31" s="466"/>
      <c r="B31" s="489" t="s">
        <v>73</v>
      </c>
      <c r="C31" s="490"/>
      <c r="D31" s="490"/>
      <c r="E31" s="471"/>
      <c r="F31" s="472"/>
      <c r="G31" s="470"/>
      <c r="H31" s="470"/>
      <c r="I31" s="470"/>
      <c r="J31" s="524"/>
      <c r="K31" s="466"/>
      <c r="L31" s="466"/>
      <c r="M31" s="466"/>
      <c r="N31" s="466"/>
      <c r="O31" s="466"/>
      <c r="P31" s="466"/>
      <c r="Q31" s="470"/>
      <c r="W31" s="466"/>
      <c r="X31" s="466"/>
      <c r="Y31" s="466"/>
      <c r="Z31" s="466"/>
      <c r="AC31" s="466"/>
      <c r="AD31" s="466"/>
    </row>
    <row r="32" spans="1:30" ht="19.5">
      <c r="A32" s="466"/>
      <c r="B32" s="496" t="s">
        <v>663</v>
      </c>
      <c r="C32" s="497"/>
      <c r="D32" s="497"/>
      <c r="E32" s="471"/>
      <c r="F32" s="510">
        <f>Ratio_Calc!$J$32</f>
        <v>0.0031926014781620514</v>
      </c>
      <c r="G32" s="495">
        <v>0</v>
      </c>
      <c r="H32" s="495">
        <v>5</v>
      </c>
      <c r="I32" s="470"/>
      <c r="J32" s="524"/>
      <c r="K32" s="466"/>
      <c r="L32" s="466"/>
      <c r="M32" s="466"/>
      <c r="N32" s="466"/>
      <c r="O32" s="466"/>
      <c r="P32" s="466"/>
      <c r="Q32" s="470"/>
      <c r="R32" s="528" t="s">
        <v>682</v>
      </c>
      <c r="S32" s="529"/>
      <c r="T32" s="530">
        <f>SUM(J23:J37)+SUM(T22:T30)</f>
        <v>1.8000000000000003</v>
      </c>
      <c r="W32" s="466"/>
      <c r="X32" s="466"/>
      <c r="Y32" s="466"/>
      <c r="Z32" s="466"/>
      <c r="AC32" s="466"/>
      <c r="AD32" s="466"/>
    </row>
    <row r="33" spans="1:30" ht="12.75">
      <c r="A33" s="466"/>
      <c r="B33" s="492" t="s">
        <v>664</v>
      </c>
      <c r="C33" s="497"/>
      <c r="D33" s="497"/>
      <c r="E33" s="471"/>
      <c r="F33" s="472"/>
      <c r="G33" s="495">
        <v>0.01</v>
      </c>
      <c r="H33" s="495">
        <v>4</v>
      </c>
      <c r="I33" s="470"/>
      <c r="J33" s="524"/>
      <c r="K33" s="466"/>
      <c r="L33" s="466"/>
      <c r="M33" s="466"/>
      <c r="N33" s="466"/>
      <c r="P33" s="527"/>
      <c r="Q33" s="527"/>
      <c r="W33" s="466"/>
      <c r="X33" s="466"/>
      <c r="Y33" s="466"/>
      <c r="Z33" s="466"/>
      <c r="AC33" s="466"/>
      <c r="AD33" s="466"/>
    </row>
    <row r="34" spans="1:30" ht="12.75">
      <c r="A34" s="466"/>
      <c r="B34" s="490"/>
      <c r="C34" s="490"/>
      <c r="D34" s="490"/>
      <c r="E34" s="471"/>
      <c r="F34" s="472"/>
      <c r="G34" s="495">
        <v>0.04</v>
      </c>
      <c r="H34" s="495">
        <v>3</v>
      </c>
      <c r="I34" s="470"/>
      <c r="J34" s="524"/>
      <c r="K34" s="466"/>
      <c r="L34" s="466"/>
      <c r="M34" s="472" t="s">
        <v>668</v>
      </c>
      <c r="W34" s="466" t="s">
        <v>611</v>
      </c>
      <c r="X34" s="466"/>
      <c r="Y34" s="466"/>
      <c r="Z34" s="466"/>
      <c r="AC34" s="466"/>
      <c r="AD34" s="466"/>
    </row>
    <row r="35" spans="1:30" ht="14.25">
      <c r="A35" s="466"/>
      <c r="B35" s="490"/>
      <c r="C35" s="490"/>
      <c r="D35" s="490"/>
      <c r="E35" s="471"/>
      <c r="F35" s="472"/>
      <c r="G35" s="495">
        <v>0.06</v>
      </c>
      <c r="H35" s="495">
        <v>2</v>
      </c>
      <c r="I35" s="470"/>
      <c r="J35" s="524"/>
      <c r="K35" s="466"/>
      <c r="L35" s="466"/>
      <c r="M35" s="472" t="s">
        <v>595</v>
      </c>
      <c r="N35" s="514" t="s">
        <v>661</v>
      </c>
      <c r="W35" s="466"/>
      <c r="X35" s="466" t="s">
        <v>614</v>
      </c>
      <c r="Y35" s="466"/>
      <c r="Z35" s="466"/>
      <c r="AC35" s="509">
        <f>AC25+AC26</f>
        <v>0.44999999999999996</v>
      </c>
      <c r="AD35" s="509">
        <f>AD25+AD26</f>
        <v>0.35</v>
      </c>
    </row>
    <row r="36" spans="1:30" ht="14.25">
      <c r="A36" s="466"/>
      <c r="B36" s="490"/>
      <c r="C36" s="490"/>
      <c r="D36" s="490"/>
      <c r="E36" s="471"/>
      <c r="F36" s="472"/>
      <c r="G36" s="504">
        <v>0.1</v>
      </c>
      <c r="H36" s="504">
        <v>1</v>
      </c>
      <c r="I36" s="470"/>
      <c r="J36" s="524"/>
      <c r="K36" s="466"/>
      <c r="M36" s="515" t="s">
        <v>669</v>
      </c>
      <c r="N36" s="516" t="s">
        <v>662</v>
      </c>
      <c r="P36" s="466"/>
      <c r="W36" s="466" t="s">
        <v>612</v>
      </c>
      <c r="X36" s="466"/>
      <c r="Y36" s="466"/>
      <c r="Z36" s="466"/>
      <c r="AC36" s="470"/>
      <c r="AD36" s="470"/>
    </row>
    <row r="37" spans="1:30" ht="14.25">
      <c r="A37" s="466"/>
      <c r="B37" s="488"/>
      <c r="C37" s="485"/>
      <c r="D37" s="485"/>
      <c r="E37" s="486"/>
      <c r="F37" s="507" t="s">
        <v>618</v>
      </c>
      <c r="G37" s="486"/>
      <c r="H37" s="526">
        <f>IF(F32&lt;0,5,VLOOKUP(F32,G32:H36,2))</f>
        <v>5</v>
      </c>
      <c r="I37" s="505">
        <f>$AC$27</f>
        <v>0.1</v>
      </c>
      <c r="J37" s="523">
        <f>H37*I37</f>
        <v>0.5</v>
      </c>
      <c r="K37" s="466"/>
      <c r="L37" s="466"/>
      <c r="M37" s="495">
        <v>1</v>
      </c>
      <c r="N37" s="495">
        <v>1</v>
      </c>
      <c r="O37" s="517" t="s">
        <v>679</v>
      </c>
      <c r="P37" s="466"/>
      <c r="W37" s="466"/>
      <c r="X37" s="466" t="s">
        <v>613</v>
      </c>
      <c r="Y37" s="466"/>
      <c r="Z37" s="466"/>
      <c r="AC37" s="513">
        <f>AC27+AC28+AC29</f>
        <v>0.55</v>
      </c>
      <c r="AD37" s="513">
        <f>AD27+AD28</f>
        <v>0.6500000000000001</v>
      </c>
    </row>
    <row r="38" spans="1:30" ht="12.75">
      <c r="A38" s="466"/>
      <c r="J38" s="525"/>
      <c r="K38" s="466"/>
      <c r="M38" s="495">
        <v>1.81</v>
      </c>
      <c r="N38" s="495">
        <v>2</v>
      </c>
      <c r="O38" s="517" t="s">
        <v>639</v>
      </c>
      <c r="P38" s="466"/>
      <c r="W38" s="466"/>
      <c r="X38" s="466"/>
      <c r="Y38" s="466"/>
      <c r="Z38" s="508" t="s">
        <v>118</v>
      </c>
      <c r="AC38" s="509">
        <f>SUM(AC35:AC37)</f>
        <v>1</v>
      </c>
      <c r="AD38" s="509">
        <f>SUM(AD35:AD37)</f>
        <v>1</v>
      </c>
    </row>
    <row r="39" spans="1:30" ht="12.75">
      <c r="A39" s="466"/>
      <c r="K39" s="466"/>
      <c r="M39" s="495">
        <v>2.71</v>
      </c>
      <c r="N39" s="495">
        <v>3</v>
      </c>
      <c r="O39" s="517" t="s">
        <v>640</v>
      </c>
      <c r="P39" s="466"/>
      <c r="S39" s="466"/>
      <c r="T39" s="466"/>
      <c r="W39" s="466"/>
      <c r="X39" s="466"/>
      <c r="Y39" s="466"/>
      <c r="Z39" s="466"/>
      <c r="AC39" s="466"/>
      <c r="AD39" s="466"/>
    </row>
    <row r="40" spans="1:29" ht="12.75">
      <c r="A40" s="466"/>
      <c r="K40" s="466"/>
      <c r="M40" s="495">
        <v>3.61</v>
      </c>
      <c r="N40" s="495">
        <v>4</v>
      </c>
      <c r="O40" s="517" t="s">
        <v>678</v>
      </c>
      <c r="P40" s="466"/>
      <c r="S40" s="466"/>
      <c r="T40" s="466"/>
      <c r="W40" s="466"/>
      <c r="X40" s="466"/>
      <c r="Y40" s="466"/>
      <c r="Z40" s="466"/>
      <c r="AA40" s="466"/>
      <c r="AB40" s="466"/>
      <c r="AC40" s="466"/>
    </row>
    <row r="41" spans="1:29" ht="12.75">
      <c r="A41" s="466"/>
      <c r="K41" s="466"/>
      <c r="M41" s="495">
        <v>4.51</v>
      </c>
      <c r="N41" s="495">
        <v>5</v>
      </c>
      <c r="O41" s="517" t="s">
        <v>641</v>
      </c>
      <c r="P41" s="466"/>
      <c r="S41" s="466"/>
      <c r="T41" s="466"/>
      <c r="W41" s="466"/>
      <c r="X41" s="466"/>
      <c r="Y41" s="466"/>
      <c r="Z41" s="466"/>
      <c r="AA41" s="466"/>
      <c r="AB41" s="466"/>
      <c r="AC41" s="466"/>
    </row>
    <row r="42" spans="1:29" ht="12.75">
      <c r="A42" s="466"/>
      <c r="K42" s="466"/>
      <c r="S42" s="466"/>
      <c r="T42" s="466"/>
      <c r="W42" s="466"/>
      <c r="X42" s="466"/>
      <c r="Y42" s="466"/>
      <c r="Z42" s="466"/>
      <c r="AA42" s="466"/>
      <c r="AB42" s="466"/>
      <c r="AC42" s="466"/>
    </row>
    <row r="43" spans="1:29" ht="12.75">
      <c r="A43" s="466"/>
      <c r="K43" s="471"/>
      <c r="S43" s="466"/>
      <c r="T43" s="466"/>
      <c r="W43" s="466"/>
      <c r="X43" s="486" t="s">
        <v>638</v>
      </c>
      <c r="Y43" s="486"/>
      <c r="Z43" s="486"/>
      <c r="AA43" s="486"/>
      <c r="AB43" s="466"/>
      <c r="AC43" s="466"/>
    </row>
    <row r="44" spans="1:29" ht="12.75">
      <c r="A44" s="466"/>
      <c r="K44" s="471"/>
      <c r="S44" s="466"/>
      <c r="T44" s="466"/>
      <c r="W44" s="466"/>
      <c r="X44" s="466" t="s">
        <v>632</v>
      </c>
      <c r="Y44" s="466"/>
      <c r="Z44" s="466"/>
      <c r="AA44" s="466"/>
      <c r="AB44" s="466"/>
      <c r="AC44" s="466"/>
    </row>
    <row r="45" spans="1:29" ht="12.75">
      <c r="A45" s="466"/>
      <c r="K45" s="466"/>
      <c r="S45" s="466"/>
      <c r="T45" s="466"/>
      <c r="W45" s="466"/>
      <c r="X45" s="466" t="s">
        <v>633</v>
      </c>
      <c r="Y45" s="466"/>
      <c r="Z45" s="466"/>
      <c r="AA45" s="466"/>
      <c r="AB45" s="466"/>
      <c r="AC45" s="466"/>
    </row>
    <row r="46" spans="1:29" ht="23.25">
      <c r="A46" s="483"/>
      <c r="B46" s="480"/>
      <c r="C46" s="466"/>
      <c r="D46" s="466"/>
      <c r="E46" s="466"/>
      <c r="F46" s="466"/>
      <c r="G46" s="466"/>
      <c r="H46" s="466"/>
      <c r="I46" s="466"/>
      <c r="J46" s="466"/>
      <c r="K46" s="466"/>
      <c r="L46" s="466"/>
      <c r="M46" s="466"/>
      <c r="N46" s="466"/>
      <c r="O46" s="466"/>
      <c r="P46" s="466"/>
      <c r="Q46" s="466"/>
      <c r="R46" s="466"/>
      <c r="S46" s="466"/>
      <c r="T46" s="466"/>
      <c r="W46" s="466"/>
      <c r="X46" s="466" t="s">
        <v>634</v>
      </c>
      <c r="Y46" s="466"/>
      <c r="Z46" s="466"/>
      <c r="AA46" s="466"/>
      <c r="AB46" s="466"/>
      <c r="AC46" s="466"/>
    </row>
    <row r="47" spans="1:29" ht="23.25">
      <c r="A47" s="479"/>
      <c r="B47" s="481" t="s">
        <v>671</v>
      </c>
      <c r="C47" s="482"/>
      <c r="D47" s="482"/>
      <c r="E47" s="482"/>
      <c r="F47" s="482"/>
      <c r="G47" s="482"/>
      <c r="H47" s="482"/>
      <c r="I47" s="482"/>
      <c r="J47" s="482"/>
      <c r="K47" s="482"/>
      <c r="L47" s="482"/>
      <c r="M47" s="482"/>
      <c r="N47" s="482"/>
      <c r="O47" s="482"/>
      <c r="P47" s="482"/>
      <c r="Q47" s="482"/>
      <c r="R47" s="482"/>
      <c r="S47" s="482"/>
      <c r="T47" s="482"/>
      <c r="W47" s="466"/>
      <c r="X47" s="466" t="s">
        <v>635</v>
      </c>
      <c r="Y47" s="466"/>
      <c r="Z47" s="466"/>
      <c r="AA47" s="466"/>
      <c r="AB47" s="466"/>
      <c r="AC47" s="466"/>
    </row>
    <row r="48" spans="1:29" ht="12.75">
      <c r="A48" s="483"/>
      <c r="B48" s="467" t="s">
        <v>620</v>
      </c>
      <c r="C48" s="466"/>
      <c r="D48" s="466"/>
      <c r="E48" s="466"/>
      <c r="F48" s="466"/>
      <c r="G48" s="473" t="s">
        <v>600</v>
      </c>
      <c r="H48" s="468" t="s">
        <v>619</v>
      </c>
      <c r="I48" s="468" t="s">
        <v>599</v>
      </c>
      <c r="J48" s="468" t="s">
        <v>619</v>
      </c>
      <c r="K48" s="466"/>
      <c r="L48" s="467" t="s">
        <v>620</v>
      </c>
      <c r="M48" s="466"/>
      <c r="N48" s="466"/>
      <c r="O48" s="466"/>
      <c r="P48" s="466"/>
      <c r="Q48" s="473" t="s">
        <v>600</v>
      </c>
      <c r="R48" s="468" t="s">
        <v>619</v>
      </c>
      <c r="S48" s="468" t="s">
        <v>599</v>
      </c>
      <c r="T48" s="468" t="s">
        <v>619</v>
      </c>
      <c r="W48" s="466"/>
      <c r="X48" s="466" t="s">
        <v>636</v>
      </c>
      <c r="Y48" s="466"/>
      <c r="Z48" s="466"/>
      <c r="AA48" s="466"/>
      <c r="AB48" s="466"/>
      <c r="AC48" s="466"/>
    </row>
    <row r="49" spans="1:29" ht="14.25">
      <c r="A49" s="483"/>
      <c r="B49" s="484"/>
      <c r="C49" s="485"/>
      <c r="D49" s="485"/>
      <c r="E49" s="485"/>
      <c r="F49" s="487" t="s">
        <v>617</v>
      </c>
      <c r="G49" s="474" t="s">
        <v>601</v>
      </c>
      <c r="H49" s="469" t="s">
        <v>600</v>
      </c>
      <c r="I49" s="469" t="s">
        <v>602</v>
      </c>
      <c r="J49" s="469" t="s">
        <v>598</v>
      </c>
      <c r="K49" s="466"/>
      <c r="L49" s="488"/>
      <c r="M49" s="485"/>
      <c r="N49" s="485"/>
      <c r="O49" s="485"/>
      <c r="P49" s="487" t="s">
        <v>617</v>
      </c>
      <c r="Q49" s="474" t="s">
        <v>601</v>
      </c>
      <c r="R49" s="469" t="s">
        <v>600</v>
      </c>
      <c r="S49" s="469" t="s">
        <v>602</v>
      </c>
      <c r="T49" s="469" t="s">
        <v>598</v>
      </c>
      <c r="W49" s="466"/>
      <c r="X49" s="466" t="s">
        <v>637</v>
      </c>
      <c r="Y49" s="466"/>
      <c r="Z49" s="466"/>
      <c r="AA49" s="466"/>
      <c r="AB49" s="466"/>
      <c r="AC49" s="466"/>
    </row>
    <row r="50" spans="1:29" ht="14.25">
      <c r="A50" s="483"/>
      <c r="B50" s="489" t="s">
        <v>56</v>
      </c>
      <c r="C50" s="490"/>
      <c r="D50" s="490"/>
      <c r="E50" s="490"/>
      <c r="F50" s="471"/>
      <c r="G50" s="472"/>
      <c r="H50" s="472"/>
      <c r="I50" s="472"/>
      <c r="J50" s="472"/>
      <c r="K50" s="466"/>
      <c r="L50" s="489" t="s">
        <v>73</v>
      </c>
      <c r="M50" s="497"/>
      <c r="N50" s="490"/>
      <c r="O50" s="490"/>
      <c r="P50" s="470"/>
      <c r="Q50" s="470"/>
      <c r="R50" s="470"/>
      <c r="S50" s="470"/>
      <c r="T50" s="466"/>
      <c r="W50" s="466"/>
      <c r="X50" s="466"/>
      <c r="Y50" s="466"/>
      <c r="Z50" s="466"/>
      <c r="AA50" s="466"/>
      <c r="AB50" s="466"/>
      <c r="AC50" s="466"/>
    </row>
    <row r="51" spans="1:29" ht="15">
      <c r="A51" s="466"/>
      <c r="B51" s="496" t="s">
        <v>604</v>
      </c>
      <c r="C51" s="492"/>
      <c r="D51" s="492"/>
      <c r="E51" s="492"/>
      <c r="F51" s="494">
        <f>Ratio_Calc!$J$8</f>
        <v>6.6119357636239595</v>
      </c>
      <c r="G51" s="495">
        <v>0</v>
      </c>
      <c r="H51" s="495">
        <v>5</v>
      </c>
      <c r="I51" s="470"/>
      <c r="J51" s="466"/>
      <c r="K51" s="466"/>
      <c r="L51" s="496" t="s">
        <v>690</v>
      </c>
      <c r="M51" s="497"/>
      <c r="N51" s="497"/>
      <c r="O51" s="490"/>
      <c r="P51" s="518">
        <f>Ratio_Calc!$J$32</f>
        <v>0.0031926014781620514</v>
      </c>
      <c r="Q51" s="495">
        <v>0</v>
      </c>
      <c r="R51" s="495">
        <v>5</v>
      </c>
      <c r="S51" s="470"/>
      <c r="T51" s="466"/>
      <c r="W51" s="466"/>
      <c r="X51" s="466"/>
      <c r="Y51" s="466"/>
      <c r="Z51" s="466"/>
      <c r="AA51" s="466"/>
      <c r="AB51" s="466"/>
      <c r="AC51" s="466"/>
    </row>
    <row r="52" spans="1:29" ht="15">
      <c r="A52" s="466"/>
      <c r="B52" s="491"/>
      <c r="C52" s="492"/>
      <c r="D52" s="492"/>
      <c r="E52" s="492"/>
      <c r="F52" s="470"/>
      <c r="G52" s="495">
        <v>1</v>
      </c>
      <c r="H52" s="495">
        <v>4</v>
      </c>
      <c r="I52" s="470"/>
      <c r="J52" s="466"/>
      <c r="K52" s="466"/>
      <c r="L52" s="492" t="s">
        <v>616</v>
      </c>
      <c r="M52" s="492"/>
      <c r="N52" s="492"/>
      <c r="O52" s="483"/>
      <c r="P52" s="470"/>
      <c r="Q52" s="495">
        <v>0.01</v>
      </c>
      <c r="R52" s="495">
        <v>4</v>
      </c>
      <c r="S52" s="470"/>
      <c r="T52" s="466"/>
      <c r="W52" s="466"/>
      <c r="X52" s="466"/>
      <c r="Y52" s="466"/>
      <c r="Z52" s="466"/>
      <c r="AA52" s="466"/>
      <c r="AB52" s="466"/>
      <c r="AC52" s="466"/>
    </row>
    <row r="53" spans="1:29" ht="14.25">
      <c r="A53" s="466"/>
      <c r="B53" s="502"/>
      <c r="C53" s="492"/>
      <c r="D53" s="483"/>
      <c r="E53" s="483"/>
      <c r="F53" s="470"/>
      <c r="G53" s="495">
        <v>1.25</v>
      </c>
      <c r="H53" s="495">
        <v>3</v>
      </c>
      <c r="I53" s="470"/>
      <c r="J53" s="466"/>
      <c r="K53" s="466"/>
      <c r="L53" s="483"/>
      <c r="M53" s="492"/>
      <c r="N53" s="483"/>
      <c r="O53" s="483"/>
      <c r="P53" s="470"/>
      <c r="Q53" s="495">
        <v>0.04</v>
      </c>
      <c r="R53" s="495">
        <v>3</v>
      </c>
      <c r="S53" s="470"/>
      <c r="T53" s="466"/>
      <c r="W53" s="466"/>
      <c r="X53" s="466"/>
      <c r="Y53" s="466"/>
      <c r="Z53" s="466"/>
      <c r="AA53" s="466"/>
      <c r="AB53" s="466"/>
      <c r="AC53" s="466"/>
    </row>
    <row r="54" spans="1:29" ht="14.25">
      <c r="A54" s="466"/>
      <c r="B54" s="502"/>
      <c r="C54" s="492"/>
      <c r="D54" s="483"/>
      <c r="E54" s="483"/>
      <c r="F54" s="470"/>
      <c r="G54" s="495">
        <v>1.6</v>
      </c>
      <c r="H54" s="495">
        <v>2</v>
      </c>
      <c r="I54" s="470"/>
      <c r="J54" s="466"/>
      <c r="K54" s="466"/>
      <c r="L54" s="483"/>
      <c r="M54" s="492"/>
      <c r="N54" s="483"/>
      <c r="O54" s="483"/>
      <c r="P54" s="470"/>
      <c r="Q54" s="495">
        <v>0.06</v>
      </c>
      <c r="R54" s="495">
        <v>2</v>
      </c>
      <c r="S54" s="470"/>
      <c r="T54" s="466"/>
      <c r="W54" s="466"/>
      <c r="X54" s="466"/>
      <c r="Y54" s="466"/>
      <c r="Z54" s="466"/>
      <c r="AA54" s="466"/>
      <c r="AB54" s="466"/>
      <c r="AC54" s="466"/>
    </row>
    <row r="55" spans="1:20" ht="14.25">
      <c r="A55" s="466"/>
      <c r="B55" s="502"/>
      <c r="C55" s="492"/>
      <c r="D55" s="483"/>
      <c r="E55" s="483"/>
      <c r="F55" s="470"/>
      <c r="G55" s="504">
        <v>2</v>
      </c>
      <c r="H55" s="504">
        <v>1</v>
      </c>
      <c r="I55" s="470"/>
      <c r="J55" s="466"/>
      <c r="K55" s="466"/>
      <c r="L55" s="483"/>
      <c r="M55" s="492"/>
      <c r="N55" s="483"/>
      <c r="O55" s="483"/>
      <c r="P55" s="470"/>
      <c r="Q55" s="504">
        <v>0.1</v>
      </c>
      <c r="R55" s="504">
        <v>1</v>
      </c>
      <c r="S55" s="470"/>
      <c r="T55" s="466"/>
    </row>
    <row r="56" spans="1:20" ht="14.25">
      <c r="A56" s="466"/>
      <c r="B56" s="488"/>
      <c r="C56" s="519"/>
      <c r="D56" s="485"/>
      <c r="E56" s="485"/>
      <c r="F56" s="507" t="s">
        <v>618</v>
      </c>
      <c r="G56" s="486"/>
      <c r="H56" s="526">
        <f>IF(F51&lt;0,5,VLOOKUP(F51,G51:H55,2))</f>
        <v>1</v>
      </c>
      <c r="I56" s="505">
        <f>$AD$25</f>
        <v>0.15</v>
      </c>
      <c r="J56" s="523">
        <f>H56*I56</f>
        <v>0.15</v>
      </c>
      <c r="K56" s="466"/>
      <c r="L56" s="488"/>
      <c r="M56" s="519"/>
      <c r="N56" s="485"/>
      <c r="O56" s="485"/>
      <c r="P56" s="507" t="s">
        <v>618</v>
      </c>
      <c r="Q56" s="486"/>
      <c r="R56" s="526">
        <f>IF(P51&lt;0,5,VLOOKUP(P51,Q51:R55,2))</f>
        <v>5</v>
      </c>
      <c r="S56" s="505">
        <f>$AD$27</f>
        <v>0.3</v>
      </c>
      <c r="T56" s="523">
        <f>R56*S56</f>
        <v>1.5</v>
      </c>
    </row>
    <row r="57" spans="1:20" ht="14.25">
      <c r="A57" s="466"/>
      <c r="B57" s="489" t="s">
        <v>65</v>
      </c>
      <c r="C57" s="497"/>
      <c r="D57" s="490"/>
      <c r="E57" s="490"/>
      <c r="F57" s="470"/>
      <c r="G57" s="470"/>
      <c r="H57" s="470"/>
      <c r="I57" s="470"/>
      <c r="J57" s="524"/>
      <c r="K57" s="466"/>
      <c r="L57" s="489" t="s">
        <v>86</v>
      </c>
      <c r="M57" s="497"/>
      <c r="N57" s="490"/>
      <c r="O57" s="490"/>
      <c r="P57" s="470"/>
      <c r="Q57" s="470"/>
      <c r="R57" s="470"/>
      <c r="S57" s="470"/>
      <c r="T57" s="524"/>
    </row>
    <row r="58" spans="1:20" ht="12.75" customHeight="1">
      <c r="A58" s="466"/>
      <c r="B58" s="496" t="s">
        <v>603</v>
      </c>
      <c r="C58" s="497"/>
      <c r="D58" s="497"/>
      <c r="E58" s="497"/>
      <c r="F58" s="518">
        <f>Ratio_Calc!$J$18</f>
        <v>0.8222785904383804</v>
      </c>
      <c r="G58" s="495">
        <v>0</v>
      </c>
      <c r="H58" s="495">
        <v>5</v>
      </c>
      <c r="I58" s="470"/>
      <c r="J58" s="524"/>
      <c r="K58" s="466"/>
      <c r="L58" s="496" t="s">
        <v>689</v>
      </c>
      <c r="M58" s="497"/>
      <c r="N58" s="497"/>
      <c r="O58" s="497"/>
      <c r="P58" s="520">
        <f>Ratio_Calc!$J$55</f>
        <v>1.2757839467199195</v>
      </c>
      <c r="Q58" s="495">
        <v>0</v>
      </c>
      <c r="R58" s="495">
        <v>5</v>
      </c>
      <c r="S58" s="470"/>
      <c r="T58" s="524"/>
    </row>
    <row r="59" spans="1:20" ht="12.75" customHeight="1">
      <c r="A59" s="466"/>
      <c r="B59" s="483"/>
      <c r="C59" s="492"/>
      <c r="D59" s="483"/>
      <c r="E59" s="483"/>
      <c r="F59" s="470"/>
      <c r="G59" s="495">
        <v>0.5</v>
      </c>
      <c r="H59" s="495">
        <v>4</v>
      </c>
      <c r="I59" s="470"/>
      <c r="J59" s="524"/>
      <c r="K59" s="466"/>
      <c r="L59" s="492" t="s">
        <v>615</v>
      </c>
      <c r="M59" s="492"/>
      <c r="N59" s="492"/>
      <c r="O59" s="492"/>
      <c r="P59" s="470"/>
      <c r="Q59" s="495">
        <v>0.03</v>
      </c>
      <c r="R59" s="495">
        <v>4</v>
      </c>
      <c r="S59" s="470"/>
      <c r="T59" s="524"/>
    </row>
    <row r="60" spans="1:20" ht="12.75" customHeight="1">
      <c r="A60" s="466"/>
      <c r="B60" s="483"/>
      <c r="C60" s="492"/>
      <c r="D60" s="483"/>
      <c r="E60" s="483"/>
      <c r="F60" s="470"/>
      <c r="G60" s="495">
        <v>0.6</v>
      </c>
      <c r="H60" s="495">
        <v>3</v>
      </c>
      <c r="I60" s="470"/>
      <c r="J60" s="524"/>
      <c r="K60" s="466"/>
      <c r="L60" s="492"/>
      <c r="M60" s="483"/>
      <c r="N60" s="483"/>
      <c r="O60" s="483"/>
      <c r="P60" s="470"/>
      <c r="Q60" s="495">
        <v>0.1</v>
      </c>
      <c r="R60" s="495">
        <v>3</v>
      </c>
      <c r="S60" s="470"/>
      <c r="T60" s="524"/>
    </row>
    <row r="61" spans="1:20" ht="12.75" customHeight="1">
      <c r="A61" s="466"/>
      <c r="B61" s="483"/>
      <c r="C61" s="492"/>
      <c r="D61" s="483"/>
      <c r="E61" s="483"/>
      <c r="F61" s="470"/>
      <c r="G61" s="495">
        <v>0.7</v>
      </c>
      <c r="H61" s="495">
        <v>2</v>
      </c>
      <c r="I61" s="470"/>
      <c r="J61" s="524"/>
      <c r="K61" s="466"/>
      <c r="L61" s="492"/>
      <c r="M61" s="483"/>
      <c r="N61" s="483"/>
      <c r="O61" s="483"/>
      <c r="P61" s="470"/>
      <c r="Q61" s="495">
        <v>0.2</v>
      </c>
      <c r="R61" s="495">
        <v>2</v>
      </c>
      <c r="S61" s="470"/>
      <c r="T61" s="524"/>
    </row>
    <row r="62" spans="1:20" ht="12.75" customHeight="1">
      <c r="A62" s="466"/>
      <c r="B62" s="483"/>
      <c r="C62" s="492"/>
      <c r="D62" s="483"/>
      <c r="E62" s="483"/>
      <c r="F62" s="470"/>
      <c r="G62" s="504">
        <v>0.8</v>
      </c>
      <c r="H62" s="504">
        <v>1</v>
      </c>
      <c r="I62" s="470"/>
      <c r="J62" s="524"/>
      <c r="K62" s="466"/>
      <c r="L62" s="492"/>
      <c r="M62" s="483"/>
      <c r="N62" s="483"/>
      <c r="O62" s="483"/>
      <c r="P62" s="470"/>
      <c r="Q62" s="504">
        <v>0.3</v>
      </c>
      <c r="R62" s="504">
        <v>1</v>
      </c>
      <c r="S62" s="470"/>
      <c r="T62" s="524"/>
    </row>
    <row r="63" spans="1:20" ht="12.75" customHeight="1">
      <c r="A63" s="466"/>
      <c r="B63" s="485"/>
      <c r="C63" s="519"/>
      <c r="D63" s="485"/>
      <c r="E63" s="485"/>
      <c r="F63" s="507" t="s">
        <v>618</v>
      </c>
      <c r="G63" s="486"/>
      <c r="H63" s="526">
        <f>IF(F58&lt;0,5,VLOOKUP(F58,G58:H62,2))</f>
        <v>1</v>
      </c>
      <c r="I63" s="505">
        <f>$AD$26</f>
        <v>0.2</v>
      </c>
      <c r="J63" s="523">
        <f>H63*I63</f>
        <v>0.2</v>
      </c>
      <c r="K63" s="466"/>
      <c r="L63" s="521"/>
      <c r="M63" s="486"/>
      <c r="N63" s="486"/>
      <c r="O63" s="486"/>
      <c r="P63" s="507" t="s">
        <v>618</v>
      </c>
      <c r="Q63" s="486"/>
      <c r="R63" s="526">
        <f>IF(P58&lt;0,5,VLOOKUP(P58,Q58:R62,2))</f>
        <v>1</v>
      </c>
      <c r="S63" s="505">
        <f>$AD$28</f>
        <v>0.3500000000000001</v>
      </c>
      <c r="T63" s="523">
        <f>R63*S63</f>
        <v>0.3500000000000001</v>
      </c>
    </row>
    <row r="64" spans="1:17" ht="12.75">
      <c r="A64" s="466"/>
      <c r="J64" s="525"/>
      <c r="K64" s="466"/>
      <c r="Q64" s="470"/>
    </row>
    <row r="65" spans="1:20" ht="19.5">
      <c r="A65" s="466"/>
      <c r="L65" s="466"/>
      <c r="M65" s="472" t="s">
        <v>668</v>
      </c>
      <c r="N65" s="466"/>
      <c r="P65" s="466"/>
      <c r="Q65" s="531"/>
      <c r="R65" s="528" t="s">
        <v>681</v>
      </c>
      <c r="S65" s="532"/>
      <c r="T65" s="533">
        <f>SUM(J56:J63)+SUM(T56:T63)</f>
        <v>2.2</v>
      </c>
    </row>
    <row r="66" spans="1:16" ht="14.25">
      <c r="A66" s="466"/>
      <c r="M66" s="472" t="s">
        <v>595</v>
      </c>
      <c r="N66" s="514" t="s">
        <v>661</v>
      </c>
      <c r="P66" s="527"/>
    </row>
    <row r="67" spans="1:19" ht="14.25">
      <c r="A67" s="466"/>
      <c r="M67" s="515" t="s">
        <v>669</v>
      </c>
      <c r="N67" s="516" t="s">
        <v>662</v>
      </c>
      <c r="O67" s="466"/>
      <c r="Q67" s="466"/>
      <c r="S67" s="466"/>
    </row>
    <row r="68" spans="1:19" ht="12.75">
      <c r="A68" s="466"/>
      <c r="L68" s="466"/>
      <c r="M68" s="495">
        <v>1</v>
      </c>
      <c r="N68" s="495">
        <v>1</v>
      </c>
      <c r="O68" s="517" t="s">
        <v>679</v>
      </c>
      <c r="Q68" s="466"/>
      <c r="S68" s="466"/>
    </row>
    <row r="69" spans="1:19" ht="12.75">
      <c r="A69" s="466"/>
      <c r="M69" s="495">
        <v>1.91</v>
      </c>
      <c r="N69" s="495">
        <v>2</v>
      </c>
      <c r="O69" s="517" t="s">
        <v>639</v>
      </c>
      <c r="Q69" s="466"/>
      <c r="S69" s="466"/>
    </row>
    <row r="70" spans="1:19" ht="12.75">
      <c r="A70" s="466"/>
      <c r="M70" s="495">
        <v>2.61</v>
      </c>
      <c r="N70" s="495">
        <v>3</v>
      </c>
      <c r="O70" s="517" t="s">
        <v>640</v>
      </c>
      <c r="Q70" s="466"/>
      <c r="S70" s="466"/>
    </row>
    <row r="71" spans="1:20" ht="12.75">
      <c r="A71" s="466"/>
      <c r="K71" s="466"/>
      <c r="M71" s="495">
        <v>3.31</v>
      </c>
      <c r="N71" s="495">
        <v>4</v>
      </c>
      <c r="O71" s="517" t="s">
        <v>678</v>
      </c>
      <c r="Q71" s="466"/>
      <c r="S71" s="466"/>
      <c r="T71" s="466"/>
    </row>
    <row r="72" spans="1:20" ht="12.75">
      <c r="A72" s="466"/>
      <c r="K72" s="466"/>
      <c r="M72" s="495">
        <v>4.01</v>
      </c>
      <c r="N72" s="495">
        <v>5</v>
      </c>
      <c r="O72" s="517" t="s">
        <v>641</v>
      </c>
      <c r="Q72" s="466"/>
      <c r="R72" s="466"/>
      <c r="S72" s="466"/>
      <c r="T72" s="466"/>
    </row>
    <row r="88" spans="1:20" ht="14.25">
      <c r="A88" s="502"/>
      <c r="L88" s="466"/>
      <c r="M88" s="466"/>
      <c r="N88" s="466"/>
      <c r="O88" s="466"/>
      <c r="P88" s="466"/>
      <c r="Q88" s="466"/>
      <c r="R88" s="466"/>
      <c r="S88" s="466"/>
      <c r="T88" s="466"/>
    </row>
    <row r="89" spans="1:20" ht="14.25">
      <c r="A89" s="502"/>
      <c r="L89" s="466"/>
      <c r="M89" s="466"/>
      <c r="N89" s="466"/>
      <c r="O89" s="466"/>
      <c r="P89" s="466"/>
      <c r="Q89" s="466"/>
      <c r="R89" s="466"/>
      <c r="S89" s="466"/>
      <c r="T89" s="466"/>
    </row>
    <row r="90" spans="1:20" ht="14.25">
      <c r="A90" s="502"/>
      <c r="L90" s="466"/>
      <c r="M90" s="466"/>
      <c r="N90" s="466"/>
      <c r="O90" s="466"/>
      <c r="P90" s="466"/>
      <c r="Q90" s="466"/>
      <c r="R90" s="466"/>
      <c r="S90" s="466"/>
      <c r="T90" s="466"/>
    </row>
    <row r="91" spans="1:20" ht="14.25">
      <c r="A91" s="502"/>
      <c r="L91" s="466"/>
      <c r="M91" s="466"/>
      <c r="N91" s="466"/>
      <c r="O91" s="466"/>
      <c r="P91" s="466"/>
      <c r="Q91" s="466"/>
      <c r="R91" s="466"/>
      <c r="S91" s="466"/>
      <c r="T91" s="466"/>
    </row>
    <row r="92" spans="1:20" ht="14.25">
      <c r="A92" s="522"/>
      <c r="L92" s="466"/>
      <c r="M92" s="466"/>
      <c r="N92" s="466"/>
      <c r="O92" s="466"/>
      <c r="P92" s="466"/>
      <c r="Q92" s="466"/>
      <c r="R92" s="466"/>
      <c r="S92" s="466"/>
      <c r="T92" s="466"/>
    </row>
    <row r="93" spans="1:20" ht="12.75">
      <c r="A93" s="466"/>
      <c r="L93" s="466"/>
      <c r="M93" s="466"/>
      <c r="N93" s="466"/>
      <c r="O93" s="466"/>
      <c r="P93" s="466"/>
      <c r="Q93" s="466"/>
      <c r="R93" s="466"/>
      <c r="S93" s="466"/>
      <c r="T93" s="466"/>
    </row>
    <row r="94" spans="1:20" ht="12.75">
      <c r="A94" s="466"/>
      <c r="B94" s="466"/>
      <c r="L94" s="466"/>
      <c r="M94" s="466"/>
      <c r="N94" s="466"/>
      <c r="O94" s="466"/>
      <c r="P94" s="466"/>
      <c r="Q94" s="466"/>
      <c r="R94" s="466"/>
      <c r="S94" s="466"/>
      <c r="T94" s="466"/>
    </row>
    <row r="95" spans="1:20" ht="12.75">
      <c r="A95" s="466"/>
      <c r="B95" s="466"/>
      <c r="L95" s="466"/>
      <c r="M95" s="466"/>
      <c r="N95" s="466"/>
      <c r="O95" s="466"/>
      <c r="P95" s="466"/>
      <c r="Q95" s="466"/>
      <c r="R95" s="466"/>
      <c r="S95" s="466"/>
      <c r="T95" s="466"/>
    </row>
    <row r="96" spans="1:20" ht="12.75">
      <c r="A96" s="466"/>
      <c r="B96" s="466"/>
      <c r="L96" s="466"/>
      <c r="M96" s="466"/>
      <c r="N96" s="466"/>
      <c r="O96" s="466"/>
      <c r="P96" s="466"/>
      <c r="Q96" s="466"/>
      <c r="R96" s="466"/>
      <c r="S96" s="466"/>
      <c r="T96" s="466"/>
    </row>
    <row r="97" spans="1:20" ht="12.75">
      <c r="A97" s="466"/>
      <c r="B97" s="466"/>
      <c r="L97" s="466"/>
      <c r="M97" s="466"/>
      <c r="N97" s="466"/>
      <c r="O97" s="466"/>
      <c r="P97" s="466"/>
      <c r="Q97" s="466"/>
      <c r="R97" s="466"/>
      <c r="S97" s="466"/>
      <c r="T97" s="466"/>
    </row>
    <row r="98" spans="1:20" ht="12.75">
      <c r="A98" s="466"/>
      <c r="B98" s="466"/>
      <c r="L98" s="466"/>
      <c r="M98" s="466"/>
      <c r="N98" s="466"/>
      <c r="O98" s="466"/>
      <c r="P98" s="466"/>
      <c r="Q98" s="466"/>
      <c r="R98" s="466"/>
      <c r="S98" s="466"/>
      <c r="T98" s="466"/>
    </row>
    <row r="99" spans="1:20" ht="12.75">
      <c r="A99" s="466"/>
      <c r="B99" s="466"/>
      <c r="L99" s="466"/>
      <c r="M99" s="466"/>
      <c r="N99" s="466"/>
      <c r="O99" s="466"/>
      <c r="P99" s="466"/>
      <c r="Q99" s="466"/>
      <c r="R99" s="466"/>
      <c r="S99" s="466"/>
      <c r="T99" s="466"/>
    </row>
    <row r="100" spans="1:20" ht="12.75">
      <c r="A100" s="466"/>
      <c r="B100" s="466"/>
      <c r="L100" s="466"/>
      <c r="M100" s="466"/>
      <c r="N100" s="466"/>
      <c r="O100" s="466"/>
      <c r="P100" s="466"/>
      <c r="Q100" s="466"/>
      <c r="R100" s="466"/>
      <c r="S100" s="466"/>
      <c r="T100" s="466"/>
    </row>
    <row r="101" spans="1:20" ht="12.75">
      <c r="A101" s="466"/>
      <c r="B101" s="466"/>
      <c r="L101" s="466"/>
      <c r="M101" s="466"/>
      <c r="N101" s="466"/>
      <c r="O101" s="466"/>
      <c r="P101" s="466"/>
      <c r="Q101" s="466"/>
      <c r="R101" s="466"/>
      <c r="S101" s="466"/>
      <c r="T101" s="466"/>
    </row>
    <row r="102" spans="1:20" ht="12.75">
      <c r="A102" s="466"/>
      <c r="B102" s="466"/>
      <c r="L102" s="466"/>
      <c r="M102" s="466"/>
      <c r="N102" s="466"/>
      <c r="O102" s="466"/>
      <c r="P102" s="466"/>
      <c r="Q102" s="466"/>
      <c r="R102" s="466"/>
      <c r="S102" s="466"/>
      <c r="T102" s="466"/>
    </row>
    <row r="103" spans="1:20" ht="12.75">
      <c r="A103" s="466"/>
      <c r="B103" s="466"/>
      <c r="L103" s="466"/>
      <c r="M103" s="466"/>
      <c r="N103" s="466"/>
      <c r="O103" s="466"/>
      <c r="P103" s="466"/>
      <c r="Q103" s="466"/>
      <c r="R103" s="466"/>
      <c r="S103" s="466"/>
      <c r="T103" s="466"/>
    </row>
    <row r="104" spans="1:20" ht="12.75">
      <c r="A104" s="466"/>
      <c r="B104" s="466"/>
      <c r="L104" s="466"/>
      <c r="M104" s="466"/>
      <c r="N104" s="466"/>
      <c r="O104" s="466"/>
      <c r="P104" s="466"/>
      <c r="Q104" s="466"/>
      <c r="R104" s="466"/>
      <c r="S104" s="466"/>
      <c r="T104" s="466"/>
    </row>
    <row r="105" spans="1:20" ht="12.75">
      <c r="A105" s="466"/>
      <c r="B105" s="466"/>
      <c r="L105" s="466"/>
      <c r="M105" s="466"/>
      <c r="N105" s="466"/>
      <c r="O105" s="466"/>
      <c r="P105" s="466"/>
      <c r="Q105" s="466"/>
      <c r="R105" s="466"/>
      <c r="S105" s="466"/>
      <c r="T105" s="466"/>
    </row>
    <row r="106" spans="1:20" ht="12.75">
      <c r="A106" s="466"/>
      <c r="B106" s="466"/>
      <c r="L106" s="466"/>
      <c r="M106" s="466"/>
      <c r="N106" s="466"/>
      <c r="O106" s="466"/>
      <c r="P106" s="466"/>
      <c r="Q106" s="466"/>
      <c r="R106" s="466"/>
      <c r="S106" s="466"/>
      <c r="T106" s="466"/>
    </row>
    <row r="107" spans="1:20" ht="12.75">
      <c r="A107" s="466"/>
      <c r="B107" s="466"/>
      <c r="L107" s="466"/>
      <c r="M107" s="466"/>
      <c r="N107" s="466"/>
      <c r="O107" s="466"/>
      <c r="P107" s="466"/>
      <c r="Q107" s="466"/>
      <c r="R107" s="466"/>
      <c r="S107" s="466"/>
      <c r="T107" s="466"/>
    </row>
    <row r="108" spans="1:20" ht="12.75">
      <c r="A108" s="466"/>
      <c r="B108" s="466"/>
      <c r="L108" s="466"/>
      <c r="M108" s="466"/>
      <c r="N108" s="466"/>
      <c r="O108" s="466"/>
      <c r="P108" s="466"/>
      <c r="Q108" s="466"/>
      <c r="R108" s="466"/>
      <c r="S108" s="466"/>
      <c r="T108" s="466"/>
    </row>
    <row r="109" spans="1:20" ht="12.75">
      <c r="A109" s="466"/>
      <c r="B109" s="466"/>
      <c r="L109" s="466"/>
      <c r="M109" s="466"/>
      <c r="N109" s="466"/>
      <c r="O109" s="466"/>
      <c r="P109" s="466"/>
      <c r="Q109" s="466"/>
      <c r="R109" s="466"/>
      <c r="S109" s="466"/>
      <c r="T109" s="466"/>
    </row>
    <row r="110" spans="1:20" ht="12.75">
      <c r="A110" s="466"/>
      <c r="B110" s="466"/>
      <c r="L110" s="466"/>
      <c r="M110" s="466"/>
      <c r="N110" s="466"/>
      <c r="O110" s="466"/>
      <c r="P110" s="466"/>
      <c r="Q110" s="466"/>
      <c r="R110" s="466"/>
      <c r="S110" s="466"/>
      <c r="T110" s="466"/>
    </row>
    <row r="111" spans="1:20" ht="12.75">
      <c r="A111" s="466"/>
      <c r="B111" s="466"/>
      <c r="L111" s="466"/>
      <c r="M111" s="466"/>
      <c r="N111" s="466"/>
      <c r="O111" s="466"/>
      <c r="P111" s="466"/>
      <c r="Q111" s="466"/>
      <c r="R111" s="466"/>
      <c r="S111" s="466"/>
      <c r="T111" s="466"/>
    </row>
    <row r="112" spans="1:20" ht="12.75">
      <c r="A112" s="466"/>
      <c r="B112" s="466"/>
      <c r="C112" s="466"/>
      <c r="L112" s="466"/>
      <c r="M112" s="466"/>
      <c r="N112" s="466"/>
      <c r="O112" s="466"/>
      <c r="P112" s="466"/>
      <c r="Q112" s="466"/>
      <c r="R112" s="466"/>
      <c r="S112" s="466"/>
      <c r="T112" s="466"/>
    </row>
    <row r="113" spans="1:20" ht="12.75">
      <c r="A113" s="466"/>
      <c r="B113" s="466"/>
      <c r="C113" s="466"/>
      <c r="K113" s="466"/>
      <c r="L113" s="466"/>
      <c r="M113" s="466"/>
      <c r="N113" s="466"/>
      <c r="O113" s="466"/>
      <c r="P113" s="466"/>
      <c r="Q113" s="466"/>
      <c r="R113" s="466"/>
      <c r="S113" s="466"/>
      <c r="T113" s="466"/>
    </row>
    <row r="114" spans="1:20" ht="12.75">
      <c r="A114" s="466"/>
      <c r="B114" s="466"/>
      <c r="C114" s="466"/>
      <c r="D114" s="466"/>
      <c r="E114" s="466"/>
      <c r="F114" s="466"/>
      <c r="G114" s="466"/>
      <c r="H114" s="466"/>
      <c r="I114" s="466"/>
      <c r="J114" s="466"/>
      <c r="K114" s="466"/>
      <c r="L114" s="466"/>
      <c r="M114" s="466"/>
      <c r="N114" s="466"/>
      <c r="O114" s="466"/>
      <c r="P114" s="466"/>
      <c r="Q114" s="466"/>
      <c r="R114" s="466"/>
      <c r="S114" s="466"/>
      <c r="T114" s="466"/>
    </row>
    <row r="115" spans="1:20" ht="12.75">
      <c r="A115" s="466"/>
      <c r="B115" s="466"/>
      <c r="C115" s="466"/>
      <c r="D115" s="466"/>
      <c r="E115" s="466"/>
      <c r="F115" s="466"/>
      <c r="G115" s="466"/>
      <c r="H115" s="466"/>
      <c r="I115" s="466"/>
      <c r="J115" s="466"/>
      <c r="K115" s="466"/>
      <c r="L115" s="466"/>
      <c r="M115" s="466"/>
      <c r="N115" s="466"/>
      <c r="O115" s="466"/>
      <c r="P115" s="466"/>
      <c r="Q115" s="466"/>
      <c r="R115" s="466"/>
      <c r="S115" s="466"/>
      <c r="T115" s="466"/>
    </row>
    <row r="116" spans="1:20" ht="12.75">
      <c r="A116" s="466"/>
      <c r="B116" s="466"/>
      <c r="C116" s="466"/>
      <c r="D116" s="466"/>
      <c r="E116" s="466"/>
      <c r="F116" s="466"/>
      <c r="G116" s="466"/>
      <c r="H116" s="466"/>
      <c r="I116" s="466"/>
      <c r="J116" s="466"/>
      <c r="K116" s="466"/>
      <c r="L116" s="466"/>
      <c r="M116" s="466"/>
      <c r="N116" s="466"/>
      <c r="O116" s="466"/>
      <c r="P116" s="466"/>
      <c r="Q116" s="466"/>
      <c r="R116" s="466"/>
      <c r="S116" s="466"/>
      <c r="T116" s="466"/>
    </row>
    <row r="117" spans="1:20" ht="12.75">
      <c r="A117" s="466"/>
      <c r="B117" s="466"/>
      <c r="C117" s="466"/>
      <c r="D117" s="466"/>
      <c r="E117" s="466"/>
      <c r="F117" s="466"/>
      <c r="G117" s="466"/>
      <c r="H117" s="466"/>
      <c r="I117" s="466"/>
      <c r="J117" s="466"/>
      <c r="K117" s="466"/>
      <c r="L117" s="466"/>
      <c r="M117" s="466"/>
      <c r="N117" s="466"/>
      <c r="O117" s="466"/>
      <c r="P117" s="466"/>
      <c r="Q117" s="466"/>
      <c r="R117" s="466"/>
      <c r="S117" s="466"/>
      <c r="T117" s="466"/>
    </row>
    <row r="118" spans="1:20" ht="12.75">
      <c r="A118" s="466"/>
      <c r="B118" s="466"/>
      <c r="C118" s="466"/>
      <c r="D118" s="466"/>
      <c r="E118" s="466"/>
      <c r="F118" s="466"/>
      <c r="G118" s="466"/>
      <c r="H118" s="466"/>
      <c r="I118" s="466"/>
      <c r="J118" s="466"/>
      <c r="K118" s="466"/>
      <c r="L118" s="466"/>
      <c r="M118" s="466"/>
      <c r="N118" s="466"/>
      <c r="O118" s="466"/>
      <c r="P118" s="466"/>
      <c r="Q118" s="466"/>
      <c r="R118" s="466"/>
      <c r="S118" s="466"/>
      <c r="T118" s="466"/>
    </row>
    <row r="119" spans="1:20" ht="12.75">
      <c r="A119" s="466"/>
      <c r="B119" s="466"/>
      <c r="C119" s="466"/>
      <c r="D119" s="466"/>
      <c r="E119" s="466"/>
      <c r="F119" s="466"/>
      <c r="G119" s="466"/>
      <c r="H119" s="466"/>
      <c r="I119" s="466"/>
      <c r="J119" s="466"/>
      <c r="K119" s="466"/>
      <c r="L119" s="466"/>
      <c r="M119" s="466"/>
      <c r="N119" s="466"/>
      <c r="O119" s="466"/>
      <c r="P119" s="466"/>
      <c r="Q119" s="466"/>
      <c r="R119" s="466"/>
      <c r="S119" s="466"/>
      <c r="T119" s="466"/>
    </row>
    <row r="120" spans="1:10" ht="12.75">
      <c r="A120" s="466"/>
      <c r="B120" s="466"/>
      <c r="C120" s="466"/>
      <c r="D120" s="466"/>
      <c r="E120" s="466"/>
      <c r="F120" s="466"/>
      <c r="G120" s="466"/>
      <c r="H120" s="466"/>
      <c r="I120" s="466"/>
      <c r="J120" s="466"/>
    </row>
  </sheetData>
  <mergeCells count="1">
    <mergeCell ref="AC22:AD22"/>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5">
    <pageSetUpPr fitToPage="1"/>
  </sheetPr>
  <dimension ref="A2:N82"/>
  <sheetViews>
    <sheetView showGridLines="0" zoomScale="80" zoomScaleNormal="80" zoomScalePageLayoutView="0" workbookViewId="0" topLeftCell="A1">
      <selection activeCell="F11" sqref="F11"/>
    </sheetView>
  </sheetViews>
  <sheetFormatPr defaultColWidth="9.140625" defaultRowHeight="12.75"/>
  <cols>
    <col min="1" max="1" width="5.57421875" style="0" customWidth="1"/>
    <col min="2" max="2" width="27.28125" style="0" customWidth="1"/>
    <col min="3" max="3" width="12.140625" style="0" customWidth="1"/>
    <col min="4" max="5" width="10.7109375" style="0" customWidth="1"/>
    <col min="6" max="6" width="13.57421875" style="0" customWidth="1"/>
    <col min="7" max="7" width="11.8515625" style="0" customWidth="1"/>
    <col min="8" max="8" width="12.421875" style="0" customWidth="1"/>
    <col min="9" max="10" width="10.7109375" style="0" customWidth="1"/>
    <col min="11" max="11" width="12.00390625" style="0" customWidth="1"/>
    <col min="12" max="12" width="13.00390625" style="0" customWidth="1"/>
    <col min="13" max="13" width="10.57421875" style="0" customWidth="1"/>
  </cols>
  <sheetData>
    <row r="2" spans="2:14" ht="15">
      <c r="B2" s="128" t="s">
        <v>249</v>
      </c>
      <c r="C2" s="55"/>
      <c r="D2" s="58"/>
      <c r="E2" s="58"/>
      <c r="F2" s="58"/>
      <c r="G2" s="58"/>
      <c r="H2" s="58"/>
      <c r="I2" s="58"/>
      <c r="J2" s="58"/>
      <c r="K2" s="58"/>
      <c r="L2" s="58"/>
      <c r="M2" s="58"/>
      <c r="N2" s="55"/>
    </row>
    <row r="3" spans="2:14" ht="12.75">
      <c r="B3" s="58"/>
      <c r="C3" s="58"/>
      <c r="D3" s="58"/>
      <c r="E3" s="58"/>
      <c r="F3" s="58"/>
      <c r="G3" s="58"/>
      <c r="H3" s="58"/>
      <c r="I3" s="58"/>
      <c r="J3" s="58"/>
      <c r="K3" s="58"/>
      <c r="L3" s="58"/>
      <c r="M3" s="58"/>
      <c r="N3" s="55"/>
    </row>
    <row r="4" spans="2:14" ht="18.75">
      <c r="B4" s="55"/>
      <c r="C4" s="129"/>
      <c r="D4" s="129"/>
      <c r="E4" s="129"/>
      <c r="F4" s="130" t="s">
        <v>248</v>
      </c>
      <c r="G4" s="129"/>
      <c r="H4" s="129"/>
      <c r="I4" s="129"/>
      <c r="J4" s="129"/>
      <c r="K4" s="58"/>
      <c r="L4" s="58"/>
      <c r="M4" s="58"/>
      <c r="N4" s="55"/>
    </row>
    <row r="5" spans="2:14" ht="18.75">
      <c r="B5" s="131" t="s">
        <v>428</v>
      </c>
      <c r="C5" s="129"/>
      <c r="D5" s="129"/>
      <c r="E5" s="129"/>
      <c r="F5" s="132"/>
      <c r="G5" s="129"/>
      <c r="H5" s="129"/>
      <c r="I5" s="129"/>
      <c r="J5" s="129"/>
      <c r="K5" s="58"/>
      <c r="L5" s="58"/>
      <c r="M5" s="58"/>
      <c r="N5" s="55"/>
    </row>
    <row r="6" spans="2:14" ht="12.75">
      <c r="B6" s="58"/>
      <c r="C6" s="58"/>
      <c r="D6" s="554" t="s">
        <v>157</v>
      </c>
      <c r="E6" s="554"/>
      <c r="F6" s="554"/>
      <c r="G6" s="133" t="s">
        <v>199</v>
      </c>
      <c r="H6" s="133"/>
      <c r="I6" s="133"/>
      <c r="J6" s="133"/>
      <c r="K6" s="58"/>
      <c r="L6" s="58"/>
      <c r="M6" s="58"/>
      <c r="N6" s="55"/>
    </row>
    <row r="7" spans="2:14" ht="13.5" thickBot="1">
      <c r="B7" s="58"/>
      <c r="C7" s="81" t="s">
        <v>205</v>
      </c>
      <c r="D7" s="43" t="s">
        <v>588</v>
      </c>
      <c r="E7" s="43" t="s">
        <v>589</v>
      </c>
      <c r="F7" s="43" t="s">
        <v>590</v>
      </c>
      <c r="G7" s="43" t="s">
        <v>591</v>
      </c>
      <c r="H7" s="43" t="s">
        <v>592</v>
      </c>
      <c r="I7" s="43" t="s">
        <v>592</v>
      </c>
      <c r="J7" s="43" t="s">
        <v>592</v>
      </c>
      <c r="K7" s="43" t="s">
        <v>592</v>
      </c>
      <c r="L7" s="43" t="s">
        <v>592</v>
      </c>
      <c r="M7" s="58"/>
      <c r="N7" s="55"/>
    </row>
    <row r="8" spans="2:14" ht="12.75">
      <c r="B8" s="552" t="s">
        <v>127</v>
      </c>
      <c r="C8" s="553"/>
      <c r="D8" s="288">
        <v>35</v>
      </c>
      <c r="E8" s="288">
        <v>50</v>
      </c>
      <c r="F8" s="289">
        <v>200</v>
      </c>
      <c r="G8" s="290">
        <v>1</v>
      </c>
      <c r="H8" s="288">
        <v>0</v>
      </c>
      <c r="I8" s="288">
        <v>0</v>
      </c>
      <c r="J8" s="288">
        <v>0</v>
      </c>
      <c r="K8" s="288">
        <v>0</v>
      </c>
      <c r="L8" s="288">
        <v>0</v>
      </c>
      <c r="M8" s="58"/>
      <c r="N8" s="55"/>
    </row>
    <row r="9" spans="2:14" ht="12.75">
      <c r="B9" s="552" t="s">
        <v>259</v>
      </c>
      <c r="C9" s="553"/>
      <c r="D9" s="291">
        <v>750</v>
      </c>
      <c r="E9" s="291">
        <v>500</v>
      </c>
      <c r="F9" s="291">
        <v>500</v>
      </c>
      <c r="G9" s="291">
        <v>750</v>
      </c>
      <c r="H9" s="291">
        <v>0</v>
      </c>
      <c r="I9" s="291">
        <v>0</v>
      </c>
      <c r="J9" s="291">
        <v>0</v>
      </c>
      <c r="K9" s="291">
        <v>0</v>
      </c>
      <c r="L9" s="291">
        <v>0</v>
      </c>
      <c r="M9" s="281">
        <f>SUM(D9:L9)</f>
        <v>2500</v>
      </c>
      <c r="N9" s="55"/>
    </row>
    <row r="10" spans="2:14" ht="12.75">
      <c r="B10" s="552" t="s">
        <v>190</v>
      </c>
      <c r="C10" s="553"/>
      <c r="D10" s="45">
        <v>2.98</v>
      </c>
      <c r="E10" s="45">
        <v>2.25</v>
      </c>
      <c r="F10" s="45">
        <v>2.25</v>
      </c>
      <c r="G10" s="45">
        <v>0</v>
      </c>
      <c r="H10" s="388">
        <v>0</v>
      </c>
      <c r="I10" s="388">
        <v>1</v>
      </c>
      <c r="J10" s="388">
        <v>2</v>
      </c>
      <c r="K10" s="388">
        <v>3</v>
      </c>
      <c r="L10" s="45">
        <v>0</v>
      </c>
      <c r="M10" s="58"/>
      <c r="N10" s="55"/>
    </row>
    <row r="11" spans="2:14" ht="12.75">
      <c r="B11" s="552" t="s">
        <v>206</v>
      </c>
      <c r="C11" s="553"/>
      <c r="D11" s="67">
        <v>0.5</v>
      </c>
      <c r="E11" s="67">
        <v>0.5</v>
      </c>
      <c r="F11" s="67">
        <v>0.5</v>
      </c>
      <c r="G11" s="67">
        <v>0.5</v>
      </c>
      <c r="H11" s="67">
        <v>0</v>
      </c>
      <c r="I11" s="67">
        <v>1</v>
      </c>
      <c r="J11" s="67">
        <v>2</v>
      </c>
      <c r="K11" s="67">
        <v>3</v>
      </c>
      <c r="L11" s="67">
        <v>0</v>
      </c>
      <c r="M11" s="58"/>
      <c r="N11" s="55"/>
    </row>
    <row r="12" spans="1:14" ht="12.75">
      <c r="A12" s="266" t="s">
        <v>378</v>
      </c>
      <c r="B12" s="552" t="s">
        <v>252</v>
      </c>
      <c r="C12" s="553"/>
      <c r="D12" s="67">
        <v>0.83</v>
      </c>
      <c r="E12" s="67">
        <v>0.83</v>
      </c>
      <c r="F12" s="67">
        <v>0.75</v>
      </c>
      <c r="G12" s="67">
        <v>0.87</v>
      </c>
      <c r="H12" s="67">
        <v>0</v>
      </c>
      <c r="I12" s="67">
        <v>0</v>
      </c>
      <c r="J12" s="67">
        <v>0</v>
      </c>
      <c r="K12" s="67">
        <v>0</v>
      </c>
      <c r="L12" s="67">
        <v>0</v>
      </c>
      <c r="M12" s="148" t="s">
        <v>221</v>
      </c>
      <c r="N12" s="55"/>
    </row>
    <row r="13" spans="2:14" ht="12.75">
      <c r="B13" s="84" t="s">
        <v>257</v>
      </c>
      <c r="D13" s="149">
        <f aca="true" t="shared" si="0" ref="D13:L13">D8*D9*D10</f>
        <v>78225</v>
      </c>
      <c r="E13" s="150">
        <f t="shared" si="0"/>
        <v>56250</v>
      </c>
      <c r="F13" s="150">
        <f t="shared" si="0"/>
        <v>225000</v>
      </c>
      <c r="G13" s="150">
        <f t="shared" si="0"/>
        <v>0</v>
      </c>
      <c r="H13" s="150">
        <f t="shared" si="0"/>
        <v>0</v>
      </c>
      <c r="I13" s="150">
        <f t="shared" si="0"/>
        <v>0</v>
      </c>
      <c r="J13" s="150">
        <f t="shared" si="0"/>
        <v>0</v>
      </c>
      <c r="K13" s="150">
        <f t="shared" si="0"/>
        <v>0</v>
      </c>
      <c r="L13" s="151">
        <f t="shared" si="0"/>
        <v>0</v>
      </c>
      <c r="M13" s="152">
        <f>SUM(D13:L13)</f>
        <v>359475</v>
      </c>
      <c r="N13" s="55"/>
    </row>
    <row r="14" spans="2:14" ht="12.75">
      <c r="B14" s="84" t="s">
        <v>263</v>
      </c>
      <c r="D14" s="154">
        <f aca="true" t="shared" si="1" ref="D14:L14">D13*D11*(1-D12)</f>
        <v>6649.125000000002</v>
      </c>
      <c r="E14" s="155">
        <f t="shared" si="1"/>
        <v>4781.250000000001</v>
      </c>
      <c r="F14" s="155">
        <f t="shared" si="1"/>
        <v>28125</v>
      </c>
      <c r="G14" s="155">
        <f t="shared" si="1"/>
        <v>0</v>
      </c>
      <c r="H14" s="155">
        <f t="shared" si="1"/>
        <v>0</v>
      </c>
      <c r="I14" s="155">
        <f t="shared" si="1"/>
        <v>0</v>
      </c>
      <c r="J14" s="155">
        <f t="shared" si="1"/>
        <v>0</v>
      </c>
      <c r="K14" s="155">
        <f t="shared" si="1"/>
        <v>0</v>
      </c>
      <c r="L14" s="156">
        <f t="shared" si="1"/>
        <v>0</v>
      </c>
      <c r="M14" s="157">
        <f>SUM(D14:L14)</f>
        <v>39555.375</v>
      </c>
      <c r="N14" s="55"/>
    </row>
    <row r="15" spans="2:14" ht="12.75">
      <c r="B15" s="84" t="s">
        <v>156</v>
      </c>
      <c r="D15" s="158">
        <f aca="true" t="shared" si="2" ref="D15:L15">D8*D9</f>
        <v>26250</v>
      </c>
      <c r="E15" s="158">
        <f t="shared" si="2"/>
        <v>25000</v>
      </c>
      <c r="F15" s="158">
        <f t="shared" si="2"/>
        <v>100000</v>
      </c>
      <c r="G15" s="158">
        <f t="shared" si="2"/>
        <v>750</v>
      </c>
      <c r="H15" s="158">
        <f t="shared" si="2"/>
        <v>0</v>
      </c>
      <c r="I15" s="158">
        <f t="shared" si="2"/>
        <v>0</v>
      </c>
      <c r="J15" s="158">
        <f t="shared" si="2"/>
        <v>0</v>
      </c>
      <c r="K15" s="158">
        <f t="shared" si="2"/>
        <v>0</v>
      </c>
      <c r="L15" s="158">
        <f t="shared" si="2"/>
        <v>0</v>
      </c>
      <c r="N15" s="55"/>
    </row>
    <row r="16" spans="6:14" ht="12.75">
      <c r="F16" s="55"/>
      <c r="G16" s="78"/>
      <c r="H16" s="78"/>
      <c r="I16" s="78"/>
      <c r="J16" s="78"/>
      <c r="K16" s="78"/>
      <c r="L16" s="58"/>
      <c r="M16" s="159">
        <f>M13-M14</f>
        <v>319919.625</v>
      </c>
      <c r="N16" s="55"/>
    </row>
    <row r="17" spans="2:14" ht="12.75">
      <c r="B17" s="56"/>
      <c r="C17" s="59" t="s">
        <v>256</v>
      </c>
      <c r="D17" s="161">
        <f>M13-M14</f>
        <v>319919.625</v>
      </c>
      <c r="F17" s="55"/>
      <c r="G17" s="78"/>
      <c r="H17" s="78"/>
      <c r="I17" s="78"/>
      <c r="J17" s="78"/>
      <c r="K17" s="78"/>
      <c r="L17" s="58"/>
      <c r="N17" s="55"/>
    </row>
    <row r="18" spans="2:14" ht="12.75">
      <c r="B18" s="56"/>
      <c r="C18" s="59"/>
      <c r="D18" s="59"/>
      <c r="E18" s="161"/>
      <c r="F18" s="55"/>
      <c r="G18" s="78"/>
      <c r="H18" s="78"/>
      <c r="I18" s="78"/>
      <c r="J18" s="78"/>
      <c r="K18" s="78"/>
      <c r="L18" s="58"/>
      <c r="M18" s="58"/>
      <c r="N18" s="55"/>
    </row>
    <row r="19" spans="2:14" ht="18.75">
      <c r="B19" s="162" t="s">
        <v>427</v>
      </c>
      <c r="C19" s="58"/>
      <c r="D19" s="73"/>
      <c r="E19" s="78"/>
      <c r="F19" s="78"/>
      <c r="G19" s="78"/>
      <c r="H19" s="78"/>
      <c r="I19" s="78"/>
      <c r="J19" s="78"/>
      <c r="K19" s="78"/>
      <c r="L19" s="58"/>
      <c r="M19" s="58"/>
      <c r="N19" s="55"/>
    </row>
    <row r="20" spans="2:14" ht="12.75">
      <c r="B20" s="58"/>
      <c r="C20" s="58"/>
      <c r="D20" s="554" t="s">
        <v>204</v>
      </c>
      <c r="E20" s="554"/>
      <c r="F20" s="554"/>
      <c r="G20" s="555" t="s">
        <v>191</v>
      </c>
      <c r="H20" s="555"/>
      <c r="I20" s="78"/>
      <c r="J20" s="78"/>
      <c r="K20" s="78"/>
      <c r="L20" s="58"/>
      <c r="M20" s="58"/>
      <c r="N20" s="55"/>
    </row>
    <row r="21" spans="3:14" ht="13.5" thickBot="1">
      <c r="C21" s="58"/>
      <c r="D21" s="163" t="s">
        <v>124</v>
      </c>
      <c r="E21" s="164" t="s">
        <v>131</v>
      </c>
      <c r="F21" s="43" t="s">
        <v>163</v>
      </c>
      <c r="G21" s="43" t="s">
        <v>125</v>
      </c>
      <c r="H21" s="43" t="s">
        <v>126</v>
      </c>
      <c r="I21" s="55"/>
      <c r="J21" s="55"/>
      <c r="K21" s="551" t="s">
        <v>175</v>
      </c>
      <c r="L21" s="551"/>
      <c r="M21" s="551"/>
      <c r="N21" s="55"/>
    </row>
    <row r="22" spans="2:14" ht="12.75">
      <c r="B22" s="552" t="s">
        <v>158</v>
      </c>
      <c r="C22" s="553"/>
      <c r="D22" s="46">
        <v>0</v>
      </c>
      <c r="E22" s="46">
        <v>0</v>
      </c>
      <c r="F22" s="46">
        <v>0</v>
      </c>
      <c r="G22" s="166"/>
      <c r="H22" s="166"/>
      <c r="I22" s="58"/>
      <c r="J22" s="58"/>
      <c r="K22" s="139" t="s">
        <v>169</v>
      </c>
      <c r="L22" s="167" t="s">
        <v>170</v>
      </c>
      <c r="M22" s="167" t="s">
        <v>172</v>
      </c>
      <c r="N22" s="55"/>
    </row>
    <row r="23" spans="2:14" ht="12.75">
      <c r="B23" s="552" t="s">
        <v>184</v>
      </c>
      <c r="C23" s="553"/>
      <c r="D23" s="47">
        <v>0</v>
      </c>
      <c r="E23" s="48">
        <v>0</v>
      </c>
      <c r="F23" s="48">
        <v>0</v>
      </c>
      <c r="G23" s="168"/>
      <c r="H23" s="168"/>
      <c r="I23" s="58"/>
      <c r="J23" s="58"/>
      <c r="K23" s="165" t="s">
        <v>384</v>
      </c>
      <c r="L23" s="169" t="s">
        <v>171</v>
      </c>
      <c r="M23" s="169" t="s">
        <v>173</v>
      </c>
      <c r="N23" s="55"/>
    </row>
    <row r="24" spans="2:14" ht="12.75">
      <c r="B24" s="552" t="s">
        <v>183</v>
      </c>
      <c r="C24" s="553"/>
      <c r="D24" s="45">
        <v>0</v>
      </c>
      <c r="E24" s="45">
        <v>0</v>
      </c>
      <c r="F24" s="45">
        <v>0</v>
      </c>
      <c r="G24" s="168"/>
      <c r="H24" s="168"/>
      <c r="I24" s="58"/>
      <c r="J24" s="170" t="s">
        <v>178</v>
      </c>
      <c r="K24" s="151">
        <f>D30*D22*D23*D24</f>
        <v>0</v>
      </c>
      <c r="L24" s="152">
        <f>D22*D30*D32</f>
        <v>0</v>
      </c>
      <c r="M24" s="171">
        <f aca="true" t="shared" si="3" ref="M24:M29">K24-L24</f>
        <v>0</v>
      </c>
      <c r="N24" s="55"/>
    </row>
    <row r="25" spans="2:14" ht="12.75">
      <c r="B25" s="552" t="s">
        <v>185</v>
      </c>
      <c r="C25" s="553"/>
      <c r="D25" s="47">
        <v>0</v>
      </c>
      <c r="E25" s="48">
        <v>0</v>
      </c>
      <c r="F25" s="48">
        <v>0</v>
      </c>
      <c r="G25" s="168"/>
      <c r="H25" s="168"/>
      <c r="I25" s="58"/>
      <c r="J25" s="170" t="s">
        <v>174</v>
      </c>
      <c r="K25" s="172">
        <f>D30/IF(D27=0,1,D27)/3*D25*D26</f>
        <v>0</v>
      </c>
      <c r="L25" s="173">
        <v>0</v>
      </c>
      <c r="M25" s="174">
        <f t="shared" si="3"/>
        <v>0</v>
      </c>
      <c r="N25" s="55"/>
    </row>
    <row r="26" spans="2:14" ht="12.75">
      <c r="B26" s="552" t="s">
        <v>186</v>
      </c>
      <c r="C26" s="553"/>
      <c r="D26" s="45">
        <v>0</v>
      </c>
      <c r="E26" s="44">
        <v>0</v>
      </c>
      <c r="F26" s="44">
        <v>0</v>
      </c>
      <c r="G26" s="168"/>
      <c r="H26" s="168"/>
      <c r="I26" s="58"/>
      <c r="J26" s="170" t="s">
        <v>177</v>
      </c>
      <c r="K26" s="175">
        <f>E22*E23*E24*E30</f>
        <v>0</v>
      </c>
      <c r="L26" s="153">
        <f>E22*E30*E32</f>
        <v>0</v>
      </c>
      <c r="M26" s="176">
        <f t="shared" si="3"/>
        <v>0</v>
      </c>
      <c r="N26" s="55"/>
    </row>
    <row r="27" spans="2:14" ht="12.75">
      <c r="B27" s="552" t="s">
        <v>187</v>
      </c>
      <c r="C27" s="553"/>
      <c r="D27" s="47">
        <v>0</v>
      </c>
      <c r="E27" s="48">
        <v>0</v>
      </c>
      <c r="F27" s="48">
        <v>0</v>
      </c>
      <c r="G27" s="168"/>
      <c r="H27" s="168"/>
      <c r="I27" s="58"/>
      <c r="J27" s="170" t="s">
        <v>176</v>
      </c>
      <c r="K27" s="177">
        <f>E30/IF(E27=0,1,E27)/3*E25*E26</f>
        <v>0</v>
      </c>
      <c r="L27" s="173">
        <v>0</v>
      </c>
      <c r="M27" s="174">
        <f t="shared" si="3"/>
        <v>0</v>
      </c>
      <c r="N27" s="55"/>
    </row>
    <row r="28" spans="2:14" ht="12.75">
      <c r="B28" s="552" t="s">
        <v>203</v>
      </c>
      <c r="C28" s="553"/>
      <c r="D28" s="49">
        <v>0</v>
      </c>
      <c r="E28" s="44">
        <v>0</v>
      </c>
      <c r="F28" s="44">
        <v>0</v>
      </c>
      <c r="G28" s="168"/>
      <c r="H28" s="168"/>
      <c r="I28" s="58"/>
      <c r="J28" s="170" t="s">
        <v>179</v>
      </c>
      <c r="K28" s="175">
        <f>F30*F22*F23*F24</f>
        <v>0</v>
      </c>
      <c r="L28" s="153">
        <f>F22*F30*F32</f>
        <v>0</v>
      </c>
      <c r="M28" s="176">
        <f t="shared" si="3"/>
        <v>0</v>
      </c>
      <c r="N28" s="55"/>
    </row>
    <row r="29" spans="2:14" ht="12.75">
      <c r="B29" s="552" t="s">
        <v>260</v>
      </c>
      <c r="C29" s="553"/>
      <c r="D29" s="44">
        <v>0</v>
      </c>
      <c r="E29" s="48">
        <v>0</v>
      </c>
      <c r="F29" s="48">
        <v>0</v>
      </c>
      <c r="G29" s="48">
        <v>0</v>
      </c>
      <c r="H29" s="48">
        <v>0</v>
      </c>
      <c r="I29" s="55"/>
      <c r="J29" s="170" t="s">
        <v>180</v>
      </c>
      <c r="K29" s="177">
        <f>F30/IF(F27=0,1,F27)/3*F25*F26</f>
        <v>0</v>
      </c>
      <c r="L29" s="173">
        <v>0</v>
      </c>
      <c r="M29" s="174">
        <f t="shared" si="3"/>
        <v>0</v>
      </c>
      <c r="N29" s="55"/>
    </row>
    <row r="30" spans="2:14" ht="12.75">
      <c r="B30" s="552" t="s">
        <v>371</v>
      </c>
      <c r="C30" s="553"/>
      <c r="D30" s="44">
        <v>0</v>
      </c>
      <c r="E30" s="48">
        <v>0</v>
      </c>
      <c r="F30" s="48">
        <v>0</v>
      </c>
      <c r="G30" s="48">
        <v>0</v>
      </c>
      <c r="H30" s="48">
        <v>0</v>
      </c>
      <c r="I30" s="55"/>
      <c r="J30" s="170" t="s">
        <v>167</v>
      </c>
      <c r="K30" s="73">
        <f>SUM(K24:K29)</f>
        <v>0</v>
      </c>
      <c r="L30" s="73">
        <f>SUM(L24:L29)</f>
        <v>0</v>
      </c>
      <c r="M30" s="178">
        <f>SUM(M24:M29)</f>
        <v>0</v>
      </c>
      <c r="N30" s="55"/>
    </row>
    <row r="31" spans="2:14" ht="12.75">
      <c r="B31" s="552" t="s">
        <v>128</v>
      </c>
      <c r="C31" s="553"/>
      <c r="D31" s="63">
        <v>0</v>
      </c>
      <c r="E31" s="63">
        <v>0</v>
      </c>
      <c r="F31" s="63">
        <v>0</v>
      </c>
      <c r="G31" s="45">
        <v>0</v>
      </c>
      <c r="H31" s="45">
        <v>0</v>
      </c>
      <c r="I31" s="55"/>
      <c r="J31" s="170"/>
      <c r="K31" s="58"/>
      <c r="L31" s="58"/>
      <c r="M31" s="58"/>
      <c r="N31" s="55"/>
    </row>
    <row r="32" spans="2:14" ht="12.75">
      <c r="B32" s="552" t="s">
        <v>168</v>
      </c>
      <c r="C32" s="553"/>
      <c r="D32" s="49">
        <v>0</v>
      </c>
      <c r="E32" s="49">
        <v>0</v>
      </c>
      <c r="F32" s="49">
        <v>0</v>
      </c>
      <c r="G32" s="179"/>
      <c r="H32" s="179"/>
      <c r="I32" s="55"/>
      <c r="J32" s="55"/>
      <c r="K32" s="58"/>
      <c r="L32" s="58"/>
      <c r="M32" s="58"/>
      <c r="N32" s="55"/>
    </row>
    <row r="33" spans="2:14" ht="12.75">
      <c r="B33" s="552" t="s">
        <v>129</v>
      </c>
      <c r="C33" s="553"/>
      <c r="D33" s="50">
        <v>0</v>
      </c>
      <c r="E33" s="50">
        <v>0</v>
      </c>
      <c r="F33" s="50">
        <v>0</v>
      </c>
      <c r="G33" s="45">
        <v>0</v>
      </c>
      <c r="H33" s="45">
        <v>0</v>
      </c>
      <c r="I33" s="55"/>
      <c r="J33" s="55"/>
      <c r="K33" s="58"/>
      <c r="L33" s="58"/>
      <c r="M33" s="58"/>
      <c r="N33" s="55"/>
    </row>
    <row r="34" spans="2:14" ht="12.75">
      <c r="B34" s="58"/>
      <c r="C34" s="81" t="s">
        <v>181</v>
      </c>
      <c r="D34" s="73">
        <f>(D29*D30*D31)+K24+K25</f>
        <v>0</v>
      </c>
      <c r="E34" s="73">
        <f>(E29*E30*E31)+K26+K27</f>
        <v>0</v>
      </c>
      <c r="F34" s="73">
        <f>(F29*F30*F31)+K28+K29</f>
        <v>0</v>
      </c>
      <c r="G34" s="73">
        <f>(G29*G30*G31)+G33*G30</f>
        <v>0</v>
      </c>
      <c r="H34" s="73">
        <f>(H29*H30*H31)+H33*H30</f>
        <v>0</v>
      </c>
      <c r="I34" s="58"/>
      <c r="J34" s="58"/>
      <c r="K34" s="58"/>
      <c r="L34" s="58"/>
      <c r="M34" s="58"/>
      <c r="N34" s="55"/>
    </row>
    <row r="35" spans="2:14" ht="12.75">
      <c r="B35" s="55"/>
      <c r="C35" s="55"/>
      <c r="D35" s="55"/>
      <c r="E35" s="159"/>
      <c r="F35" s="180"/>
      <c r="G35" s="181"/>
      <c r="H35" s="58"/>
      <c r="I35" s="58"/>
      <c r="J35" s="58"/>
      <c r="K35" s="58"/>
      <c r="L35" s="58"/>
      <c r="M35" s="58"/>
      <c r="N35" s="55"/>
    </row>
    <row r="36" spans="2:14" ht="12.75">
      <c r="B36" s="57" t="s">
        <v>149</v>
      </c>
      <c r="C36" s="57"/>
      <c r="D36" s="161">
        <f>SUM(D34:H34)</f>
        <v>0</v>
      </c>
      <c r="E36" s="159"/>
      <c r="F36" s="159"/>
      <c r="G36" s="159"/>
      <c r="H36" s="58"/>
      <c r="I36" s="58"/>
      <c r="J36" s="58"/>
      <c r="K36" s="58"/>
      <c r="L36" s="58"/>
      <c r="M36" s="58"/>
      <c r="N36" s="55"/>
    </row>
    <row r="41" spans="1:13" ht="18.75">
      <c r="A41" s="266" t="s">
        <v>378</v>
      </c>
      <c r="B41" s="267" t="s">
        <v>426</v>
      </c>
      <c r="C41" s="268"/>
      <c r="D41" s="268"/>
      <c r="E41" s="268"/>
      <c r="F41" s="268"/>
      <c r="G41" s="268"/>
      <c r="H41" s="268"/>
      <c r="I41" s="268"/>
      <c r="J41" s="268"/>
      <c r="K41" s="268"/>
      <c r="L41" s="268"/>
      <c r="M41" s="268"/>
    </row>
    <row r="42" spans="2:3" ht="12.75">
      <c r="B42" s="280" t="s">
        <v>433</v>
      </c>
      <c r="C42" s="269"/>
    </row>
    <row r="43" spans="2:12" ht="15">
      <c r="B43" s="265" t="s">
        <v>429</v>
      </c>
      <c r="D43" s="282" t="str">
        <f aca="true" t="shared" si="4" ref="D43:L43">D7</f>
        <v>Dry Wheat</v>
      </c>
      <c r="E43" s="282" t="str">
        <f t="shared" si="4"/>
        <v>Dry Corn</v>
      </c>
      <c r="F43" s="282" t="str">
        <f t="shared" si="4"/>
        <v>Irr Corn North</v>
      </c>
      <c r="G43" s="282" t="str">
        <f t="shared" si="4"/>
        <v>Fallow</v>
      </c>
      <c r="H43" s="282" t="str">
        <f t="shared" si="4"/>
        <v>Not Used</v>
      </c>
      <c r="I43" s="282" t="str">
        <f t="shared" si="4"/>
        <v>Not Used</v>
      </c>
      <c r="J43" s="282" t="str">
        <f t="shared" si="4"/>
        <v>Not Used</v>
      </c>
      <c r="K43" s="282" t="str">
        <f t="shared" si="4"/>
        <v>Not Used</v>
      </c>
      <c r="L43" s="282" t="str">
        <f t="shared" si="4"/>
        <v>Not Used</v>
      </c>
    </row>
    <row r="44" spans="2:12" ht="15">
      <c r="B44" s="265" t="s">
        <v>422</v>
      </c>
      <c r="D44" s="254">
        <v>890</v>
      </c>
      <c r="E44" s="255">
        <v>755</v>
      </c>
      <c r="F44" s="255">
        <v>0</v>
      </c>
      <c r="G44" s="255">
        <v>0</v>
      </c>
      <c r="H44" s="255">
        <v>0</v>
      </c>
      <c r="I44" s="255">
        <v>0</v>
      </c>
      <c r="J44" s="255">
        <v>0</v>
      </c>
      <c r="K44" s="255">
        <v>0</v>
      </c>
      <c r="L44" s="256">
        <v>0</v>
      </c>
    </row>
    <row r="45" spans="2:12" ht="15">
      <c r="B45" s="265" t="s">
        <v>425</v>
      </c>
      <c r="D45" s="257">
        <v>0.5</v>
      </c>
      <c r="E45" s="258">
        <v>0.5</v>
      </c>
      <c r="F45" s="258">
        <v>0</v>
      </c>
      <c r="G45" s="258">
        <v>0</v>
      </c>
      <c r="H45" s="258">
        <v>0</v>
      </c>
      <c r="I45" s="258">
        <v>0</v>
      </c>
      <c r="J45" s="258">
        <v>0</v>
      </c>
      <c r="K45" s="258">
        <v>0</v>
      </c>
      <c r="L45" s="259">
        <v>0</v>
      </c>
    </row>
    <row r="46" spans="1:12" ht="15">
      <c r="A46" s="266" t="s">
        <v>378</v>
      </c>
      <c r="B46" s="265" t="s">
        <v>423</v>
      </c>
      <c r="D46" s="252">
        <v>0.52</v>
      </c>
      <c r="E46" s="260">
        <v>0.28</v>
      </c>
      <c r="F46" s="260">
        <v>0</v>
      </c>
      <c r="G46" s="260">
        <v>0</v>
      </c>
      <c r="H46" s="260">
        <v>0</v>
      </c>
      <c r="I46" s="260">
        <v>0</v>
      </c>
      <c r="J46" s="260">
        <v>0</v>
      </c>
      <c r="K46" s="260">
        <v>0</v>
      </c>
      <c r="L46" s="261">
        <v>0</v>
      </c>
    </row>
    <row r="47" spans="2:12" ht="15">
      <c r="B47" s="265" t="s">
        <v>424</v>
      </c>
      <c r="D47" s="262">
        <v>38</v>
      </c>
      <c r="E47" s="263">
        <v>151</v>
      </c>
      <c r="F47" s="263">
        <v>0</v>
      </c>
      <c r="G47" s="263">
        <v>0</v>
      </c>
      <c r="H47" s="263">
        <v>0</v>
      </c>
      <c r="I47" s="263">
        <v>0</v>
      </c>
      <c r="J47" s="263">
        <v>0</v>
      </c>
      <c r="K47" s="263">
        <v>0</v>
      </c>
      <c r="L47" s="264">
        <v>0</v>
      </c>
    </row>
    <row r="48" spans="2:13" ht="15">
      <c r="B48" s="265" t="s">
        <v>430</v>
      </c>
      <c r="C48" s="55"/>
      <c r="D48" s="283">
        <f>D46*D47*0.85</f>
        <v>16.796</v>
      </c>
      <c r="E48" s="284">
        <f aca="true" t="shared" si="5" ref="E48:L48">E46*E47*0.85</f>
        <v>35.938</v>
      </c>
      <c r="F48" s="284">
        <f t="shared" si="5"/>
        <v>0</v>
      </c>
      <c r="G48" s="284">
        <f t="shared" si="5"/>
        <v>0</v>
      </c>
      <c r="H48" s="284">
        <f t="shared" si="5"/>
        <v>0</v>
      </c>
      <c r="I48" s="284">
        <f t="shared" si="5"/>
        <v>0</v>
      </c>
      <c r="J48" s="284">
        <f t="shared" si="5"/>
        <v>0</v>
      </c>
      <c r="K48" s="284">
        <f t="shared" si="5"/>
        <v>0</v>
      </c>
      <c r="L48" s="285">
        <f t="shared" si="5"/>
        <v>0</v>
      </c>
      <c r="M48" s="199" t="s">
        <v>432</v>
      </c>
    </row>
    <row r="49" spans="2:13" ht="15">
      <c r="B49" s="265" t="s">
        <v>258</v>
      </c>
      <c r="D49" s="286">
        <f>D44*D48</f>
        <v>14948.439999999999</v>
      </c>
      <c r="E49" s="72">
        <f aca="true" t="shared" si="6" ref="E49:L49">E44*E48</f>
        <v>27133.190000000002</v>
      </c>
      <c r="F49" s="72">
        <f t="shared" si="6"/>
        <v>0</v>
      </c>
      <c r="G49" s="72">
        <f t="shared" si="6"/>
        <v>0</v>
      </c>
      <c r="H49" s="72">
        <f t="shared" si="6"/>
        <v>0</v>
      </c>
      <c r="I49" s="72">
        <f t="shared" si="6"/>
        <v>0</v>
      </c>
      <c r="J49" s="72">
        <f t="shared" si="6"/>
        <v>0</v>
      </c>
      <c r="K49" s="72">
        <f t="shared" si="6"/>
        <v>0</v>
      </c>
      <c r="L49" s="287">
        <f t="shared" si="6"/>
        <v>0</v>
      </c>
      <c r="M49" s="151">
        <f>SUM(D49:L49)</f>
        <v>42081.630000000005</v>
      </c>
    </row>
    <row r="50" spans="2:13" ht="15">
      <c r="B50" s="265" t="s">
        <v>264</v>
      </c>
      <c r="D50" s="154">
        <f>D44*D45*(1-D12)*D48</f>
        <v>1270.6174000000003</v>
      </c>
      <c r="E50" s="155">
        <f aca="true" t="shared" si="7" ref="E50:L50">E44*E45*(1-E12)*E48</f>
        <v>2306.3211500000007</v>
      </c>
      <c r="F50" s="155">
        <f t="shared" si="7"/>
        <v>0</v>
      </c>
      <c r="G50" s="155">
        <f t="shared" si="7"/>
        <v>0</v>
      </c>
      <c r="H50" s="155">
        <f t="shared" si="7"/>
        <v>0</v>
      </c>
      <c r="I50" s="155">
        <f t="shared" si="7"/>
        <v>0</v>
      </c>
      <c r="J50" s="155">
        <f t="shared" si="7"/>
        <v>0</v>
      </c>
      <c r="K50" s="155">
        <f t="shared" si="7"/>
        <v>0</v>
      </c>
      <c r="L50" s="156">
        <f t="shared" si="7"/>
        <v>0</v>
      </c>
      <c r="M50" s="156">
        <f>SUM(D50:L50)</f>
        <v>3576.9385500000008</v>
      </c>
    </row>
    <row r="51" spans="12:13" ht="12.75">
      <c r="L51" s="54" t="s">
        <v>453</v>
      </c>
      <c r="M51" s="219">
        <f>M49-M50</f>
        <v>38504.691450000006</v>
      </c>
    </row>
    <row r="52" ht="12.75">
      <c r="D52" s="253"/>
    </row>
    <row r="53" ht="12.75">
      <c r="D53" s="253"/>
    </row>
    <row r="54" spans="2:4" ht="12.75">
      <c r="B54" s="280" t="s">
        <v>431</v>
      </c>
      <c r="C54" s="269"/>
      <c r="D54" s="253"/>
    </row>
    <row r="56" spans="2:11" ht="13.5" thickBot="1">
      <c r="B56" s="270" t="s">
        <v>452</v>
      </c>
      <c r="C56" s="271"/>
      <c r="D56" s="271"/>
      <c r="E56" s="271"/>
      <c r="F56" s="271"/>
      <c r="G56" s="271"/>
      <c r="H56" s="271"/>
      <c r="I56" s="271"/>
      <c r="J56" s="271"/>
      <c r="K56" s="271"/>
    </row>
    <row r="57" spans="2:11" ht="21" customHeight="1" thickBot="1">
      <c r="B57" s="272" t="s">
        <v>434</v>
      </c>
      <c r="C57" s="273" t="s">
        <v>435</v>
      </c>
      <c r="D57" s="273" t="s">
        <v>449</v>
      </c>
      <c r="E57" s="273" t="s">
        <v>450</v>
      </c>
      <c r="F57" s="271"/>
      <c r="G57" s="271"/>
      <c r="H57" s="271"/>
      <c r="I57" s="271"/>
      <c r="J57" s="271"/>
      <c r="K57" s="271"/>
    </row>
    <row r="58" spans="2:11" ht="15">
      <c r="B58" s="274" t="s">
        <v>436</v>
      </c>
      <c r="C58" s="275" t="s">
        <v>437</v>
      </c>
      <c r="D58" s="276">
        <v>2.21</v>
      </c>
      <c r="E58" s="276">
        <v>2.24</v>
      </c>
      <c r="F58" s="271"/>
      <c r="G58" s="271"/>
      <c r="H58" s="271"/>
      <c r="I58" s="271"/>
      <c r="J58" s="271"/>
      <c r="K58" s="271"/>
    </row>
    <row r="59" spans="2:11" ht="15">
      <c r="B59" s="277" t="s">
        <v>438</v>
      </c>
      <c r="C59" s="278" t="s">
        <v>437</v>
      </c>
      <c r="D59" s="279">
        <v>2.6</v>
      </c>
      <c r="E59" s="279">
        <v>2.63</v>
      </c>
      <c r="F59" s="271"/>
      <c r="G59" s="271"/>
      <c r="H59" s="271"/>
      <c r="I59" s="271"/>
      <c r="J59" s="271"/>
      <c r="K59" s="271"/>
    </row>
    <row r="60" spans="2:11" ht="15">
      <c r="B60" s="277" t="s">
        <v>439</v>
      </c>
      <c r="C60" s="278" t="s">
        <v>437</v>
      </c>
      <c r="D60" s="279">
        <v>2.54</v>
      </c>
      <c r="E60" s="279">
        <v>2.57</v>
      </c>
      <c r="F60" s="271"/>
      <c r="G60" s="271"/>
      <c r="H60" s="271"/>
      <c r="I60" s="271"/>
      <c r="J60" s="271"/>
      <c r="K60" s="271"/>
    </row>
    <row r="61" spans="2:11" ht="15">
      <c r="B61" s="277" t="s">
        <v>440</v>
      </c>
      <c r="C61" s="278" t="s">
        <v>437</v>
      </c>
      <c r="D61" s="279">
        <v>1.4</v>
      </c>
      <c r="E61" s="279">
        <v>1.44</v>
      </c>
      <c r="F61" s="271"/>
      <c r="G61" s="271"/>
      <c r="H61" s="271"/>
      <c r="I61" s="271"/>
      <c r="J61" s="271"/>
      <c r="K61" s="271"/>
    </row>
    <row r="62" spans="2:11" ht="15">
      <c r="B62" s="277" t="s">
        <v>441</v>
      </c>
      <c r="C62" s="278" t="s">
        <v>451</v>
      </c>
      <c r="D62" s="279">
        <v>9.8</v>
      </c>
      <c r="E62" s="279">
        <v>10.1</v>
      </c>
      <c r="F62" s="271"/>
      <c r="G62" s="271"/>
      <c r="H62" s="271"/>
      <c r="I62" s="271"/>
      <c r="J62" s="271"/>
      <c r="K62" s="271"/>
    </row>
    <row r="63" spans="2:11" ht="15">
      <c r="B63" s="277" t="s">
        <v>442</v>
      </c>
      <c r="C63" s="278" t="s">
        <v>443</v>
      </c>
      <c r="D63" s="279">
        <v>495</v>
      </c>
      <c r="E63" s="279">
        <v>495</v>
      </c>
      <c r="F63" s="271"/>
      <c r="G63" s="271"/>
      <c r="H63" s="271"/>
      <c r="I63" s="271"/>
      <c r="J63" s="271"/>
      <c r="K63" s="271"/>
    </row>
    <row r="64" spans="2:11" ht="15">
      <c r="B64" s="277" t="s">
        <v>444</v>
      </c>
      <c r="C64" s="278" t="s">
        <v>451</v>
      </c>
      <c r="D64" s="279">
        <v>10.5</v>
      </c>
      <c r="E64" s="279">
        <v>10.5</v>
      </c>
      <c r="F64" s="271"/>
      <c r="G64" s="271"/>
      <c r="H64" s="271"/>
      <c r="I64" s="271"/>
      <c r="J64" s="271"/>
      <c r="K64" s="271"/>
    </row>
    <row r="65" spans="2:11" ht="15">
      <c r="B65" s="277" t="s">
        <v>445</v>
      </c>
      <c r="C65" s="278" t="s">
        <v>437</v>
      </c>
      <c r="D65" s="279">
        <v>5.8</v>
      </c>
      <c r="E65" s="279">
        <v>5.8</v>
      </c>
      <c r="F65" s="271"/>
      <c r="G65" s="271"/>
      <c r="H65" s="271"/>
      <c r="I65" s="271"/>
      <c r="J65" s="271"/>
      <c r="K65" s="271"/>
    </row>
    <row r="66" spans="2:11" ht="15">
      <c r="B66" s="277" t="s">
        <v>446</v>
      </c>
      <c r="C66" s="278" t="s">
        <v>447</v>
      </c>
      <c r="D66" s="279">
        <v>0.724</v>
      </c>
      <c r="E66" s="279">
        <v>0.724</v>
      </c>
      <c r="F66" s="271"/>
      <c r="G66" s="271"/>
      <c r="H66" s="271"/>
      <c r="I66" s="271"/>
      <c r="J66" s="271"/>
      <c r="K66" s="271"/>
    </row>
    <row r="67" spans="2:11" ht="15">
      <c r="B67" s="277" t="s">
        <v>448</v>
      </c>
      <c r="C67" s="278" t="s">
        <v>437</v>
      </c>
      <c r="D67" s="279">
        <v>3.86</v>
      </c>
      <c r="E67" s="279">
        <v>3.92</v>
      </c>
      <c r="F67" s="271"/>
      <c r="G67" s="271"/>
      <c r="H67" s="271"/>
      <c r="I67" s="271"/>
      <c r="J67" s="271"/>
      <c r="K67" s="271"/>
    </row>
    <row r="68" spans="2:11" ht="12.75">
      <c r="B68" s="271"/>
      <c r="C68" s="271"/>
      <c r="D68" s="271"/>
      <c r="E68" s="271"/>
      <c r="F68" s="271"/>
      <c r="G68" s="271"/>
      <c r="H68" s="271"/>
      <c r="I68" s="271"/>
      <c r="J68" s="271"/>
      <c r="K68" s="271"/>
    </row>
    <row r="69" spans="2:11" ht="12.75">
      <c r="B69" s="271"/>
      <c r="C69" s="271"/>
      <c r="D69" s="271"/>
      <c r="E69" s="271"/>
      <c r="F69" s="271"/>
      <c r="G69" s="271"/>
      <c r="H69" s="271"/>
      <c r="I69" s="271"/>
      <c r="J69" s="271"/>
      <c r="K69" s="271"/>
    </row>
    <row r="70" spans="2:11" ht="12.75">
      <c r="B70" s="271"/>
      <c r="C70" s="271"/>
      <c r="D70" s="271"/>
      <c r="E70" s="271"/>
      <c r="F70" s="271"/>
      <c r="G70" s="271"/>
      <c r="H70" s="271"/>
      <c r="I70" s="271"/>
      <c r="J70" s="271"/>
      <c r="K70" s="271"/>
    </row>
    <row r="71" spans="2:11" ht="12.75">
      <c r="B71" s="271"/>
      <c r="C71" s="271"/>
      <c r="D71" s="271"/>
      <c r="E71" s="271"/>
      <c r="F71" s="271"/>
      <c r="G71" s="271"/>
      <c r="H71" s="271"/>
      <c r="I71" s="271"/>
      <c r="J71" s="271"/>
      <c r="K71" s="271"/>
    </row>
    <row r="72" spans="2:11" ht="12.75">
      <c r="B72" s="271"/>
      <c r="C72" s="271"/>
      <c r="D72" s="271"/>
      <c r="E72" s="271"/>
      <c r="F72" s="271"/>
      <c r="G72" s="271"/>
      <c r="H72" s="271"/>
      <c r="I72" s="271"/>
      <c r="J72" s="271"/>
      <c r="K72" s="271"/>
    </row>
    <row r="73" spans="2:11" ht="12.75">
      <c r="B73" s="271"/>
      <c r="C73" s="271"/>
      <c r="D73" s="271"/>
      <c r="E73" s="271"/>
      <c r="F73" s="271"/>
      <c r="G73" s="271"/>
      <c r="H73" s="271"/>
      <c r="I73" s="271"/>
      <c r="J73" s="271"/>
      <c r="K73" s="271"/>
    </row>
    <row r="74" spans="2:11" ht="12.75">
      <c r="B74" s="271"/>
      <c r="C74" s="271"/>
      <c r="D74" s="271"/>
      <c r="E74" s="271"/>
      <c r="F74" s="271"/>
      <c r="G74" s="271"/>
      <c r="H74" s="271"/>
      <c r="I74" s="271"/>
      <c r="J74" s="271"/>
      <c r="K74" s="271"/>
    </row>
    <row r="75" spans="2:11" ht="12.75">
      <c r="B75" s="271"/>
      <c r="C75" s="271"/>
      <c r="D75" s="271"/>
      <c r="E75" s="271"/>
      <c r="F75" s="271"/>
      <c r="G75" s="271"/>
      <c r="H75" s="271"/>
      <c r="I75" s="271"/>
      <c r="J75" s="271"/>
      <c r="K75" s="271"/>
    </row>
    <row r="76" spans="2:11" ht="12.75">
      <c r="B76" s="271"/>
      <c r="C76" s="271"/>
      <c r="D76" s="271"/>
      <c r="E76" s="271"/>
      <c r="F76" s="271"/>
      <c r="G76" s="271"/>
      <c r="H76" s="271"/>
      <c r="I76" s="271"/>
      <c r="J76" s="271"/>
      <c r="K76" s="271"/>
    </row>
    <row r="77" spans="2:11" ht="12.75">
      <c r="B77" s="271"/>
      <c r="C77" s="271"/>
      <c r="D77" s="271"/>
      <c r="E77" s="271"/>
      <c r="F77" s="271"/>
      <c r="G77" s="271"/>
      <c r="H77" s="271"/>
      <c r="I77" s="271"/>
      <c r="J77" s="271"/>
      <c r="K77" s="271"/>
    </row>
    <row r="78" spans="2:11" ht="12.75">
      <c r="B78" s="271"/>
      <c r="C78" s="271"/>
      <c r="D78" s="271"/>
      <c r="E78" s="271"/>
      <c r="F78" s="271"/>
      <c r="G78" s="271"/>
      <c r="H78" s="271"/>
      <c r="I78" s="271"/>
      <c r="J78" s="271"/>
      <c r="K78" s="271"/>
    </row>
    <row r="79" spans="2:11" ht="12.75">
      <c r="B79" s="271"/>
      <c r="C79" s="271"/>
      <c r="D79" s="271"/>
      <c r="E79" s="271"/>
      <c r="F79" s="271"/>
      <c r="G79" s="271"/>
      <c r="H79" s="271"/>
      <c r="I79" s="271"/>
      <c r="J79" s="271"/>
      <c r="K79" s="271"/>
    </row>
    <row r="80" spans="2:11" ht="12.75">
      <c r="B80" s="271"/>
      <c r="C80" s="271"/>
      <c r="D80" s="271"/>
      <c r="E80" s="271"/>
      <c r="F80" s="271"/>
      <c r="G80" s="271"/>
      <c r="H80" s="271"/>
      <c r="I80" s="271"/>
      <c r="J80" s="271"/>
      <c r="K80" s="271"/>
    </row>
    <row r="81" spans="2:11" ht="12.75">
      <c r="B81" s="271"/>
      <c r="C81" s="271"/>
      <c r="D81" s="271"/>
      <c r="E81" s="271"/>
      <c r="F81" s="271"/>
      <c r="G81" s="271"/>
      <c r="H81" s="271"/>
      <c r="I81" s="271"/>
      <c r="J81" s="271"/>
      <c r="K81" s="271"/>
    </row>
    <row r="82" spans="2:11" ht="12.75">
      <c r="B82" s="271"/>
      <c r="C82" s="271"/>
      <c r="D82" s="271"/>
      <c r="E82" s="271"/>
      <c r="F82" s="271"/>
      <c r="G82" s="271"/>
      <c r="H82" s="271"/>
      <c r="I82" s="271"/>
      <c r="J82" s="271"/>
      <c r="K82" s="271"/>
    </row>
    <row r="103" ht="42" customHeight="1"/>
  </sheetData>
  <sheetProtection formatCells="0" formatColumns="0" formatRows="0"/>
  <mergeCells count="21">
    <mergeCell ref="B33:C33"/>
    <mergeCell ref="B32:C32"/>
    <mergeCell ref="B28:C28"/>
    <mergeCell ref="B23:C23"/>
    <mergeCell ref="B27:C27"/>
    <mergeCell ref="B30:C30"/>
    <mergeCell ref="B31:C31"/>
    <mergeCell ref="B29:C29"/>
    <mergeCell ref="D6:F6"/>
    <mergeCell ref="G20:H20"/>
    <mergeCell ref="D20:F20"/>
    <mergeCell ref="B11:C11"/>
    <mergeCell ref="B12:C12"/>
    <mergeCell ref="B8:C8"/>
    <mergeCell ref="B9:C9"/>
    <mergeCell ref="K21:M21"/>
    <mergeCell ref="B10:C10"/>
    <mergeCell ref="B26:C26"/>
    <mergeCell ref="B22:C22"/>
    <mergeCell ref="B24:C24"/>
    <mergeCell ref="B25:C25"/>
  </mergeCells>
  <printOptions/>
  <pageMargins left="0.75" right="0.75" top="1" bottom="1" header="0.5" footer="0.5"/>
  <pageSetup fitToHeight="1" fitToWidth="1" horizontalDpi="300" verticalDpi="300" orientation="portrait" scale="42" r:id="rId3"/>
  <legacyDrawing r:id="rId2"/>
</worksheet>
</file>

<file path=xl/worksheets/sheet3.xml><?xml version="1.0" encoding="utf-8"?>
<worksheet xmlns="http://schemas.openxmlformats.org/spreadsheetml/2006/main" xmlns:r="http://schemas.openxmlformats.org/officeDocument/2006/relationships">
  <sheetPr codeName="Sheet2">
    <pageSetUpPr fitToPage="1"/>
  </sheetPr>
  <dimension ref="A2:AI146"/>
  <sheetViews>
    <sheetView showGridLines="0" zoomScale="80" zoomScaleNormal="80" zoomScalePageLayoutView="0" workbookViewId="0" topLeftCell="A1">
      <selection activeCell="D35" sqref="D35"/>
    </sheetView>
  </sheetViews>
  <sheetFormatPr defaultColWidth="9.140625" defaultRowHeight="12.75"/>
  <cols>
    <col min="1" max="1" width="7.140625" style="0" customWidth="1"/>
    <col min="2" max="2" width="22.421875" style="0" customWidth="1"/>
    <col min="3" max="3" width="12.140625" style="0" customWidth="1"/>
    <col min="4" max="4" width="13.28125" style="0" bestFit="1" customWidth="1"/>
    <col min="5" max="5" width="13.7109375" style="0" customWidth="1"/>
    <col min="6" max="6" width="12.8515625" style="0" customWidth="1"/>
    <col min="7" max="7" width="12.28125" style="0" customWidth="1"/>
    <col min="8" max="8" width="11.57421875" style="0" customWidth="1"/>
    <col min="9" max="9" width="12.28125" style="0" bestFit="1" customWidth="1"/>
    <col min="10" max="10" width="11.57421875" style="0" customWidth="1"/>
    <col min="11" max="11" width="11.421875" style="0" customWidth="1"/>
    <col min="16" max="16" width="12.421875" style="0" customWidth="1"/>
    <col min="17" max="17" width="12.28125" style="0" customWidth="1"/>
    <col min="18" max="18" width="11.57421875" style="0" bestFit="1" customWidth="1"/>
    <col min="19" max="30" width="10.7109375" style="0" customWidth="1"/>
    <col min="32" max="32" width="12.28125" style="0" customWidth="1"/>
  </cols>
  <sheetData>
    <row r="2" spans="2:34" ht="18.75">
      <c r="B2" s="131" t="s">
        <v>130</v>
      </c>
      <c r="C2" s="129"/>
      <c r="D2" s="129"/>
      <c r="E2" s="129"/>
      <c r="F2" s="129"/>
      <c r="G2" s="129"/>
      <c r="H2" s="129"/>
      <c r="I2" s="129"/>
      <c r="J2" s="129"/>
      <c r="K2" s="129"/>
      <c r="L2" s="58"/>
      <c r="M2" s="58"/>
      <c r="N2" s="58"/>
      <c r="O2" s="58"/>
      <c r="P2" s="58"/>
      <c r="Q2" s="58"/>
      <c r="R2" s="58"/>
      <c r="S2" s="58"/>
      <c r="T2" s="58"/>
      <c r="U2" s="58"/>
      <c r="V2" s="58"/>
      <c r="W2" s="58"/>
      <c r="X2" s="58"/>
      <c r="Y2" s="58"/>
      <c r="Z2" s="58"/>
      <c r="AA2" s="58"/>
      <c r="AB2" s="55"/>
      <c r="AC2" s="55"/>
      <c r="AD2" s="55"/>
      <c r="AE2" s="55"/>
      <c r="AF2" s="55"/>
      <c r="AG2" s="55"/>
      <c r="AH2" s="55"/>
    </row>
    <row r="3" spans="2:34" ht="18.75">
      <c r="B3" s="131"/>
      <c r="C3" s="55"/>
      <c r="D3" s="55"/>
      <c r="E3" s="55"/>
      <c r="F3" s="55"/>
      <c r="G3" s="55"/>
      <c r="H3" s="55"/>
      <c r="I3" s="55"/>
      <c r="J3" s="55"/>
      <c r="K3" s="55"/>
      <c r="L3" s="58"/>
      <c r="M3" s="58"/>
      <c r="N3" s="58"/>
      <c r="O3" s="58"/>
      <c r="P3" s="58"/>
      <c r="Q3" s="58"/>
      <c r="R3" s="58"/>
      <c r="S3" s="58"/>
      <c r="T3" s="58"/>
      <c r="U3" s="58"/>
      <c r="V3" s="58"/>
      <c r="W3" s="58"/>
      <c r="X3" s="58"/>
      <c r="Y3" s="58"/>
      <c r="Z3" s="58"/>
      <c r="AA3" s="58"/>
      <c r="AB3" s="55"/>
      <c r="AC3" s="55"/>
      <c r="AD3" s="55"/>
      <c r="AE3" s="55"/>
      <c r="AF3" s="55"/>
      <c r="AG3" s="55"/>
      <c r="AH3" s="55"/>
    </row>
    <row r="4" spans="2:34" ht="18.75">
      <c r="B4" s="131"/>
      <c r="C4" s="55"/>
      <c r="D4" s="55"/>
      <c r="E4" s="55"/>
      <c r="F4" s="55"/>
      <c r="G4" s="55"/>
      <c r="H4" s="55"/>
      <c r="I4" s="55"/>
      <c r="J4" s="55"/>
      <c r="K4" s="55"/>
      <c r="L4" s="58"/>
      <c r="M4" s="58"/>
      <c r="N4" s="58"/>
      <c r="AG4" s="55"/>
      <c r="AH4" s="55"/>
    </row>
    <row r="5" spans="2:34" ht="18.75">
      <c r="B5" s="131"/>
      <c r="C5" s="55"/>
      <c r="D5" s="55"/>
      <c r="E5" s="55"/>
      <c r="F5" s="55"/>
      <c r="G5" s="55"/>
      <c r="H5" s="55"/>
      <c r="I5" s="55"/>
      <c r="J5" s="55"/>
      <c r="K5" s="55"/>
      <c r="L5" s="58"/>
      <c r="M5" s="58"/>
      <c r="N5" s="58"/>
      <c r="AG5" s="55"/>
      <c r="AH5" s="55"/>
    </row>
    <row r="6" spans="2:34" ht="18.75">
      <c r="B6" s="131"/>
      <c r="C6" s="55"/>
      <c r="D6" s="55"/>
      <c r="E6" s="55"/>
      <c r="F6" s="55"/>
      <c r="G6" s="55"/>
      <c r="H6" s="55"/>
      <c r="I6" s="55"/>
      <c r="J6" s="55"/>
      <c r="K6" s="55"/>
      <c r="L6" s="58"/>
      <c r="M6" s="58"/>
      <c r="N6" s="58"/>
      <c r="AG6" s="55"/>
      <c r="AH6" s="55"/>
    </row>
    <row r="7" spans="2:34" ht="12.75">
      <c r="B7" s="182" t="s">
        <v>157</v>
      </c>
      <c r="C7" s="55"/>
      <c r="D7" s="55"/>
      <c r="E7" s="55"/>
      <c r="F7" s="55"/>
      <c r="G7" s="55"/>
      <c r="H7" s="55"/>
      <c r="I7" s="55"/>
      <c r="J7" s="55"/>
      <c r="K7" s="55"/>
      <c r="L7" s="58"/>
      <c r="M7" s="58"/>
      <c r="N7" s="58"/>
      <c r="AG7" s="55"/>
      <c r="AH7" s="55"/>
    </row>
    <row r="8" spans="2:34" ht="13.5" thickBot="1">
      <c r="B8" s="58"/>
      <c r="C8" s="58"/>
      <c r="D8" s="183" t="str">
        <f>Income!D7</f>
        <v>Dry Wheat</v>
      </c>
      <c r="E8" s="183" t="str">
        <f>Income!E7</f>
        <v>Dry Corn</v>
      </c>
      <c r="F8" s="183" t="str">
        <f>Income!F7</f>
        <v>Irr Corn North</v>
      </c>
      <c r="G8" s="183" t="str">
        <f>Income!G7</f>
        <v>Fallow</v>
      </c>
      <c r="H8" s="183" t="str">
        <f>Income!H7</f>
        <v>Not Used</v>
      </c>
      <c r="I8" s="183" t="str">
        <f>Income!I7</f>
        <v>Not Used</v>
      </c>
      <c r="J8" s="183" t="str">
        <f>Income!J7</f>
        <v>Not Used</v>
      </c>
      <c r="K8" s="183" t="str">
        <f>Income!K7</f>
        <v>Not Used</v>
      </c>
      <c r="L8" s="183" t="str">
        <f>Income!L7</f>
        <v>Not Used</v>
      </c>
      <c r="M8" s="58"/>
      <c r="N8" s="58"/>
      <c r="AG8" s="55"/>
      <c r="AH8" s="55"/>
    </row>
    <row r="9" spans="1:34" ht="12.75">
      <c r="A9" s="201" t="s">
        <v>378</v>
      </c>
      <c r="B9" s="552" t="s">
        <v>255</v>
      </c>
      <c r="C9" s="553"/>
      <c r="D9" s="50">
        <v>2.32</v>
      </c>
      <c r="E9" s="50">
        <v>2.27</v>
      </c>
      <c r="F9" s="50">
        <v>1.76</v>
      </c>
      <c r="G9" s="50">
        <v>15.57</v>
      </c>
      <c r="H9" s="50">
        <v>0</v>
      </c>
      <c r="I9" s="50">
        <v>0</v>
      </c>
      <c r="J9" s="50">
        <v>0</v>
      </c>
      <c r="K9" s="50">
        <v>0</v>
      </c>
      <c r="L9" s="50">
        <v>0</v>
      </c>
      <c r="M9" s="58"/>
      <c r="N9" s="58"/>
      <c r="AG9" s="55"/>
      <c r="AH9" s="55"/>
    </row>
    <row r="10" spans="1:34" ht="12.75">
      <c r="A10" s="201" t="s">
        <v>378</v>
      </c>
      <c r="B10" s="552" t="s">
        <v>414</v>
      </c>
      <c r="C10" s="553"/>
      <c r="D10" s="66">
        <v>0.17</v>
      </c>
      <c r="E10" s="66">
        <v>0.17</v>
      </c>
      <c r="F10" s="66">
        <v>0.25</v>
      </c>
      <c r="G10" s="66">
        <v>0.13</v>
      </c>
      <c r="H10" s="66">
        <v>0</v>
      </c>
      <c r="I10" s="66">
        <v>0</v>
      </c>
      <c r="J10" s="66">
        <v>0</v>
      </c>
      <c r="K10" s="66">
        <v>0</v>
      </c>
      <c r="L10" s="66">
        <v>0</v>
      </c>
      <c r="M10" s="58"/>
      <c r="N10" s="58"/>
      <c r="AG10" s="55"/>
      <c r="AH10" s="55"/>
    </row>
    <row r="11" spans="2:34" ht="12.75">
      <c r="B11" s="552" t="s">
        <v>132</v>
      </c>
      <c r="C11" s="552"/>
      <c r="D11" s="73">
        <f>Income!D8*Income!D9*D9-(Income!D8*Income!D9*D9*Income!D11*D10)</f>
        <v>55723.49999999999</v>
      </c>
      <c r="E11" s="73">
        <f>Income!E8*Income!E9*E9-(Income!E8*Income!E9*E9*Income!E11*E10)</f>
        <v>51926.25</v>
      </c>
      <c r="F11" s="73">
        <f>Income!F8*Income!F9*F9-(Income!F8*Income!F9*F9*Income!F11*F10)</f>
        <v>154000</v>
      </c>
      <c r="G11" s="73">
        <f>Income!G8*Income!G9*G9-(Income!G8*Income!G9*G9*Income!G11*G10)</f>
        <v>10918.4625</v>
      </c>
      <c r="H11" s="73">
        <f>Income!H8*Income!H9*H9-(Income!H8*Income!H9*H9*Income!H11*H10)</f>
        <v>0</v>
      </c>
      <c r="I11" s="73">
        <f>Income!I8*Income!I9*I9-(Income!I8*Income!I9*I9*Income!I11*I10)</f>
        <v>0</v>
      </c>
      <c r="J11" s="73">
        <f>Income!J8*Income!J9*J9-(Income!J8*Income!J9*J9*Income!J11*J10)</f>
        <v>0</v>
      </c>
      <c r="K11" s="73">
        <f>Income!K8*Income!K9*K9-(Income!K8*Income!K9*K9*Income!K11*K10)</f>
        <v>0</v>
      </c>
      <c r="L11" s="73">
        <f>Income!L8*Income!L9*L9-(Income!L8*Income!L9*L9*Income!L11*L10)</f>
        <v>0</v>
      </c>
      <c r="M11" s="55"/>
      <c r="N11" s="55"/>
      <c r="AG11" s="55"/>
      <c r="AH11" s="55"/>
    </row>
    <row r="12" spans="2:34" ht="12.75">
      <c r="B12" s="58"/>
      <c r="C12" s="81" t="s">
        <v>266</v>
      </c>
      <c r="D12" s="73">
        <f>SUM(D11:L11)</f>
        <v>272568.2125</v>
      </c>
      <c r="E12" s="73"/>
      <c r="F12" s="73"/>
      <c r="G12" s="73"/>
      <c r="H12" s="73"/>
      <c r="I12" s="73"/>
      <c r="J12" s="73"/>
      <c r="K12" s="73"/>
      <c r="L12" s="58"/>
      <c r="M12" s="58"/>
      <c r="N12" s="58"/>
      <c r="AG12" s="55"/>
      <c r="AH12" s="55"/>
    </row>
    <row r="13" spans="2:34" ht="12.75">
      <c r="B13" s="182" t="s">
        <v>155</v>
      </c>
      <c r="C13" s="58"/>
      <c r="D13" s="558" t="s">
        <v>204</v>
      </c>
      <c r="E13" s="558"/>
      <c r="F13" s="558"/>
      <c r="G13" s="556" t="s">
        <v>191</v>
      </c>
      <c r="H13" s="556"/>
      <c r="I13" s="58"/>
      <c r="J13" s="58"/>
      <c r="K13" s="58"/>
      <c r="L13" s="58"/>
      <c r="M13" s="58"/>
      <c r="N13" s="58"/>
      <c r="AG13" s="55"/>
      <c r="AH13" s="55"/>
    </row>
    <row r="14" spans="2:34" ht="13.5" thickBot="1">
      <c r="B14" s="58"/>
      <c r="C14" s="58"/>
      <c r="D14" s="183" t="str">
        <f>Income!D21</f>
        <v>Cow-Calf</v>
      </c>
      <c r="E14" s="183" t="str">
        <f>Income!E21</f>
        <v>Sheep</v>
      </c>
      <c r="F14" s="183" t="str">
        <f>Income!F21</f>
        <v>Other brdg lvstk</v>
      </c>
      <c r="G14" s="183" t="str">
        <f>Income!G21</f>
        <v>Feeders</v>
      </c>
      <c r="H14" s="183" t="str">
        <f>Income!H21</f>
        <v>Stockers</v>
      </c>
      <c r="I14" s="55"/>
      <c r="J14" s="55"/>
      <c r="K14" s="58"/>
      <c r="L14" s="58"/>
      <c r="M14" s="58"/>
      <c r="N14" s="58"/>
      <c r="AG14" s="55"/>
      <c r="AH14" s="55"/>
    </row>
    <row r="15" spans="1:34" ht="12.75">
      <c r="A15" s="201" t="s">
        <v>378</v>
      </c>
      <c r="B15" s="552" t="s">
        <v>189</v>
      </c>
      <c r="C15" s="553"/>
      <c r="D15" s="50">
        <v>0</v>
      </c>
      <c r="E15" s="50">
        <v>0</v>
      </c>
      <c r="F15" s="50">
        <v>0</v>
      </c>
      <c r="G15" s="50">
        <v>0</v>
      </c>
      <c r="H15" s="50">
        <v>0</v>
      </c>
      <c r="I15" s="55"/>
      <c r="J15" s="55"/>
      <c r="K15" s="58"/>
      <c r="L15" s="58"/>
      <c r="M15" s="58"/>
      <c r="N15" s="58"/>
      <c r="AG15" s="55"/>
      <c r="AH15" s="55"/>
    </row>
    <row r="16" spans="2:34" ht="12.75">
      <c r="B16" s="552" t="s">
        <v>201</v>
      </c>
      <c r="C16" s="552"/>
      <c r="D16" s="552"/>
      <c r="E16" s="179"/>
      <c r="F16" s="179"/>
      <c r="G16" s="64">
        <v>0</v>
      </c>
      <c r="H16" s="64">
        <v>0</v>
      </c>
      <c r="I16" s="55"/>
      <c r="J16" s="55"/>
      <c r="K16" s="58"/>
      <c r="L16" s="58"/>
      <c r="M16" s="58"/>
      <c r="N16" s="58"/>
      <c r="AG16" s="55"/>
      <c r="AH16" s="55"/>
    </row>
    <row r="17" spans="2:34" ht="12.75">
      <c r="B17" s="552" t="s">
        <v>200</v>
      </c>
      <c r="C17" s="552"/>
      <c r="D17" s="552"/>
      <c r="E17" s="179"/>
      <c r="F17" s="179"/>
      <c r="G17" s="65">
        <v>0</v>
      </c>
      <c r="H17" s="65">
        <v>0</v>
      </c>
      <c r="I17" s="55"/>
      <c r="J17" s="55"/>
      <c r="K17" s="58"/>
      <c r="L17" s="58"/>
      <c r="M17" s="58"/>
      <c r="N17" s="58"/>
      <c r="AG17" s="55"/>
      <c r="AH17" s="55"/>
    </row>
    <row r="18" spans="2:34" ht="12.75">
      <c r="B18" s="552" t="s">
        <v>133</v>
      </c>
      <c r="C18" s="552"/>
      <c r="D18" s="73">
        <f>Income!D29*Income!D30*D15</f>
        <v>0</v>
      </c>
      <c r="E18" s="73">
        <f>Income!E29*Income!E30*E15</f>
        <v>0</v>
      </c>
      <c r="F18" s="73">
        <f>Income!F29*Income!F30*F15</f>
        <v>0</v>
      </c>
      <c r="G18" s="73">
        <f>((Income!G29-G17)*G15+(G16*G17))*Income!G30</f>
        <v>0</v>
      </c>
      <c r="H18" s="73">
        <f>((Income!H29-H17)*H15+(H16*H17))*Income!H30</f>
        <v>0</v>
      </c>
      <c r="I18" s="55"/>
      <c r="J18" s="58"/>
      <c r="K18" s="58"/>
      <c r="L18" s="58"/>
      <c r="M18" s="58"/>
      <c r="N18" s="58"/>
      <c r="AG18" s="55"/>
      <c r="AH18" s="55"/>
    </row>
    <row r="19" spans="2:34" ht="12.75">
      <c r="B19" s="58"/>
      <c r="C19" s="81" t="s">
        <v>375</v>
      </c>
      <c r="D19" s="73">
        <f>D18/IF(Income!D30=0,1,Income!D30)</f>
        <v>0</v>
      </c>
      <c r="E19" s="73">
        <f>E18/IF(Income!E30=0,1,Income!E30)</f>
        <v>0</v>
      </c>
      <c r="F19" s="73">
        <f>F18/IF(Income!F30=0,1,Income!F30)</f>
        <v>0</v>
      </c>
      <c r="G19" s="73">
        <f>G18/IF(Income!G30=0,1,Income!G30)</f>
        <v>0</v>
      </c>
      <c r="H19" s="73">
        <f>H18/IF(Income!H30=0,1,Income!H30)</f>
        <v>0</v>
      </c>
      <c r="I19" s="55"/>
      <c r="J19" s="58"/>
      <c r="K19" s="58"/>
      <c r="L19" s="58"/>
      <c r="M19" s="58"/>
      <c r="N19" s="58"/>
      <c r="AG19" s="55"/>
      <c r="AH19" s="55"/>
    </row>
    <row r="20" spans="2:34" ht="12.75">
      <c r="B20" s="55"/>
      <c r="C20" s="81" t="s">
        <v>265</v>
      </c>
      <c r="D20" s="73">
        <f>SUM(D18:H18)</f>
        <v>0</v>
      </c>
      <c r="E20" s="55"/>
      <c r="F20" s="55"/>
      <c r="G20" s="58"/>
      <c r="H20" s="58"/>
      <c r="I20" s="58"/>
      <c r="J20" s="58"/>
      <c r="K20" s="58"/>
      <c r="L20" s="58"/>
      <c r="M20" s="58"/>
      <c r="N20" s="58"/>
      <c r="AG20" s="55"/>
      <c r="AH20" s="55"/>
    </row>
    <row r="21" spans="2:34" ht="12.75">
      <c r="B21" s="552" t="s">
        <v>198</v>
      </c>
      <c r="C21" s="552"/>
      <c r="D21" s="552"/>
      <c r="E21" s="159">
        <f>SUM(D11:L11)+SUM(D18:H18)</f>
        <v>272568.2125</v>
      </c>
      <c r="F21" s="55"/>
      <c r="G21" s="58"/>
      <c r="H21" s="58"/>
      <c r="I21" s="58"/>
      <c r="J21" s="58"/>
      <c r="K21" s="58"/>
      <c r="L21" s="58"/>
      <c r="M21" s="58"/>
      <c r="N21" s="58"/>
      <c r="AG21" s="55"/>
      <c r="AH21" s="55"/>
    </row>
    <row r="22" spans="1:34" ht="12.75">
      <c r="A22" s="201" t="s">
        <v>378</v>
      </c>
      <c r="B22" s="552" t="s">
        <v>134</v>
      </c>
      <c r="C22" s="552"/>
      <c r="D22" s="553"/>
      <c r="E22" s="51">
        <v>0.02</v>
      </c>
      <c r="F22" s="55" t="s">
        <v>372</v>
      </c>
      <c r="G22" s="58"/>
      <c r="H22" s="58"/>
      <c r="I22" s="58"/>
      <c r="J22" s="58"/>
      <c r="K22" s="58"/>
      <c r="L22" s="58"/>
      <c r="M22" s="58"/>
      <c r="N22" s="58"/>
      <c r="AG22" s="55"/>
      <c r="AH22" s="55"/>
    </row>
    <row r="23" spans="5:34" ht="12.75">
      <c r="E23" s="159">
        <f>E21*E22</f>
        <v>5451.3642500000005</v>
      </c>
      <c r="F23" s="58"/>
      <c r="G23" s="58"/>
      <c r="H23" s="58"/>
      <c r="I23" s="58"/>
      <c r="J23" s="58"/>
      <c r="K23" s="58"/>
      <c r="L23" s="58"/>
      <c r="M23" s="58"/>
      <c r="N23" s="58"/>
      <c r="AG23" s="55"/>
      <c r="AH23" s="55"/>
    </row>
    <row r="24" spans="1:35" ht="15.75">
      <c r="A24" s="55"/>
      <c r="B24" s="557" t="s">
        <v>410</v>
      </c>
      <c r="C24" s="557"/>
      <c r="D24" s="557"/>
      <c r="E24" s="184">
        <f>E21*(1+E22)</f>
        <v>278019.57675</v>
      </c>
      <c r="F24" s="58"/>
      <c r="G24" s="58"/>
      <c r="H24" s="58"/>
      <c r="I24" s="58"/>
      <c r="J24" s="58"/>
      <c r="K24" s="58"/>
      <c r="L24" s="58"/>
      <c r="M24" s="58"/>
      <c r="N24" s="58"/>
      <c r="AG24" s="55"/>
      <c r="AH24" s="55"/>
      <c r="AI24" s="55"/>
    </row>
    <row r="25" spans="1:35" ht="12.75">
      <c r="A25" s="55"/>
      <c r="B25" s="55"/>
      <c r="C25" s="55"/>
      <c r="D25" s="55"/>
      <c r="E25" s="55"/>
      <c r="F25" s="55"/>
      <c r="G25" s="55"/>
      <c r="H25" s="58"/>
      <c r="I25" s="58"/>
      <c r="J25" s="58"/>
      <c r="K25" s="58"/>
      <c r="L25" s="58"/>
      <c r="M25" s="55"/>
      <c r="N25" s="55"/>
      <c r="AG25" s="55"/>
      <c r="AH25" s="55"/>
      <c r="AI25" s="55"/>
    </row>
    <row r="26" spans="1:35" ht="12.75">
      <c r="A26" s="55"/>
      <c r="B26" s="55"/>
      <c r="C26" s="55"/>
      <c r="D26" s="55"/>
      <c r="E26" s="55"/>
      <c r="F26" s="55"/>
      <c r="G26" s="55"/>
      <c r="H26" s="58"/>
      <c r="I26" s="58"/>
      <c r="J26" s="58"/>
      <c r="K26" s="58"/>
      <c r="L26" s="58"/>
      <c r="M26" s="55"/>
      <c r="N26" s="55"/>
      <c r="AG26" s="55"/>
      <c r="AH26" s="55"/>
      <c r="AI26" s="55"/>
    </row>
    <row r="27" spans="1:35" ht="12.75">
      <c r="A27" s="55"/>
      <c r="B27" s="55"/>
      <c r="C27" s="55"/>
      <c r="D27" s="55"/>
      <c r="E27" s="55"/>
      <c r="F27" s="55"/>
      <c r="G27" s="55"/>
      <c r="H27" s="58"/>
      <c r="I27" s="58"/>
      <c r="J27" s="58"/>
      <c r="K27" s="58"/>
      <c r="L27" s="58"/>
      <c r="M27" s="55"/>
      <c r="N27" s="55"/>
      <c r="AG27" s="55"/>
      <c r="AH27" s="55"/>
      <c r="AI27" s="55"/>
    </row>
    <row r="28" spans="1:35" ht="12.75">
      <c r="A28" s="55"/>
      <c r="B28" s="55"/>
      <c r="C28" s="55"/>
      <c r="D28" s="55"/>
      <c r="E28" s="55"/>
      <c r="F28" s="55"/>
      <c r="G28" s="55"/>
      <c r="H28" s="58"/>
      <c r="I28" s="58"/>
      <c r="J28" s="58"/>
      <c r="K28" s="58"/>
      <c r="L28" s="58"/>
      <c r="M28" s="55"/>
      <c r="N28" s="55"/>
      <c r="AG28" s="55"/>
      <c r="AH28" s="55"/>
      <c r="AI28" s="55"/>
    </row>
    <row r="29" spans="1:35" ht="12.75">
      <c r="A29" s="55"/>
      <c r="B29" s="55"/>
      <c r="C29" s="55"/>
      <c r="D29" s="55"/>
      <c r="E29" s="55"/>
      <c r="F29" s="55"/>
      <c r="G29" s="55"/>
      <c r="H29" s="58"/>
      <c r="I29" s="58"/>
      <c r="J29" s="58"/>
      <c r="K29" s="58"/>
      <c r="L29" s="58"/>
      <c r="M29" s="55"/>
      <c r="N29" s="55"/>
      <c r="AG29" s="55"/>
      <c r="AH29" s="55"/>
      <c r="AI29" s="55"/>
    </row>
    <row r="30" spans="1:35" ht="12.75">
      <c r="A30" s="55"/>
      <c r="B30" s="55"/>
      <c r="C30" s="55"/>
      <c r="D30" s="55"/>
      <c r="E30" s="55"/>
      <c r="F30" s="55"/>
      <c r="G30" s="55"/>
      <c r="H30" s="58"/>
      <c r="I30" s="58"/>
      <c r="J30" s="58"/>
      <c r="K30" s="58"/>
      <c r="L30" s="58"/>
      <c r="M30" s="55"/>
      <c r="N30" s="55"/>
      <c r="AG30" s="55"/>
      <c r="AH30" s="55"/>
      <c r="AI30" s="55"/>
    </row>
    <row r="31" spans="1:35" ht="12.75">
      <c r="A31" s="55"/>
      <c r="B31" s="55"/>
      <c r="C31" s="55"/>
      <c r="D31" s="55"/>
      <c r="E31" s="55"/>
      <c r="F31" s="55"/>
      <c r="G31" s="55"/>
      <c r="H31" s="58"/>
      <c r="I31" s="58"/>
      <c r="J31" s="58"/>
      <c r="K31" s="58"/>
      <c r="L31" s="58"/>
      <c r="M31" s="55"/>
      <c r="N31" s="55"/>
      <c r="AG31" s="55"/>
      <c r="AH31" s="55"/>
      <c r="AI31" s="55"/>
    </row>
    <row r="32" spans="1:35" ht="12.75">
      <c r="A32" s="55"/>
      <c r="B32" s="55"/>
      <c r="C32" s="55"/>
      <c r="D32" s="55"/>
      <c r="E32" s="55"/>
      <c r="F32" s="55"/>
      <c r="G32" s="55"/>
      <c r="H32" s="58"/>
      <c r="I32" s="58"/>
      <c r="J32" s="58"/>
      <c r="K32" s="58"/>
      <c r="L32" s="58"/>
      <c r="M32" s="55"/>
      <c r="N32" s="55"/>
      <c r="AG32" s="55"/>
      <c r="AH32" s="55"/>
      <c r="AI32" s="55"/>
    </row>
    <row r="33" spans="1:35" ht="12.75">
      <c r="A33" s="55"/>
      <c r="B33" s="55"/>
      <c r="C33" s="55"/>
      <c r="D33" s="55"/>
      <c r="E33" s="55"/>
      <c r="F33" s="55"/>
      <c r="G33" s="55"/>
      <c r="H33" s="58"/>
      <c r="I33" s="58"/>
      <c r="J33" s="58"/>
      <c r="K33" s="58"/>
      <c r="L33" s="58"/>
      <c r="M33" s="55"/>
      <c r="N33" s="55"/>
      <c r="AG33" s="55"/>
      <c r="AH33" s="55"/>
      <c r="AI33" s="55"/>
    </row>
    <row r="34" spans="1:35" ht="12.75">
      <c r="A34" s="55"/>
      <c r="B34" s="55"/>
      <c r="C34" s="55"/>
      <c r="D34" s="55"/>
      <c r="E34" s="55"/>
      <c r="F34" s="55"/>
      <c r="G34" s="55"/>
      <c r="H34" s="58"/>
      <c r="I34" s="58"/>
      <c r="J34" s="58"/>
      <c r="K34" s="58"/>
      <c r="L34" s="58"/>
      <c r="M34" s="55"/>
      <c r="N34" s="55"/>
      <c r="AG34" s="55"/>
      <c r="AH34" s="55"/>
      <c r="AI34" s="55"/>
    </row>
    <row r="35" spans="1:35" ht="12.75">
      <c r="A35" s="55"/>
      <c r="B35" s="55"/>
      <c r="C35" s="55"/>
      <c r="D35" s="55"/>
      <c r="E35" s="55"/>
      <c r="F35" s="55"/>
      <c r="G35" s="55"/>
      <c r="H35" s="58"/>
      <c r="I35" s="58"/>
      <c r="J35" s="58"/>
      <c r="K35" s="58"/>
      <c r="L35" s="58"/>
      <c r="M35" s="55"/>
      <c r="N35" s="55"/>
      <c r="AG35" s="55"/>
      <c r="AH35" s="55"/>
      <c r="AI35" s="55"/>
    </row>
    <row r="36" spans="1:35" ht="12.75">
      <c r="A36" s="55"/>
      <c r="B36" s="55"/>
      <c r="C36" s="55"/>
      <c r="D36" s="55"/>
      <c r="E36" s="55"/>
      <c r="F36" s="55"/>
      <c r="G36" s="55"/>
      <c r="H36" s="58"/>
      <c r="I36" s="58"/>
      <c r="J36" s="58"/>
      <c r="K36" s="58"/>
      <c r="L36" s="58"/>
      <c r="M36" s="55"/>
      <c r="N36" s="55"/>
      <c r="AG36" s="55"/>
      <c r="AH36" s="55"/>
      <c r="AI36" s="55"/>
    </row>
    <row r="37" spans="1:35" ht="12.75">
      <c r="A37" s="55"/>
      <c r="B37" s="55"/>
      <c r="C37" s="55"/>
      <c r="D37" s="55"/>
      <c r="E37" s="55"/>
      <c r="F37" s="55"/>
      <c r="G37" s="55"/>
      <c r="H37" s="58"/>
      <c r="I37" s="58"/>
      <c r="J37" s="58"/>
      <c r="K37" s="58"/>
      <c r="L37" s="58"/>
      <c r="M37" s="55"/>
      <c r="N37" s="55"/>
      <c r="AG37" s="55"/>
      <c r="AH37" s="55"/>
      <c r="AI37" s="55"/>
    </row>
    <row r="38" spans="1:35" ht="12.75">
      <c r="A38" s="55"/>
      <c r="B38" s="55"/>
      <c r="C38" s="55"/>
      <c r="D38" s="55"/>
      <c r="E38" s="55"/>
      <c r="F38" s="55"/>
      <c r="G38" s="55"/>
      <c r="H38" s="58"/>
      <c r="I38" s="58"/>
      <c r="J38" s="58"/>
      <c r="K38" s="58"/>
      <c r="L38" s="58"/>
      <c r="M38" s="55"/>
      <c r="N38" s="55"/>
      <c r="AG38" s="55"/>
      <c r="AH38" s="55"/>
      <c r="AI38" s="55"/>
    </row>
    <row r="39" spans="1:35" ht="12.75">
      <c r="A39" s="55"/>
      <c r="B39" s="55"/>
      <c r="C39" s="55"/>
      <c r="D39" s="55"/>
      <c r="E39" s="55"/>
      <c r="F39" s="55"/>
      <c r="G39" s="55"/>
      <c r="H39" s="58"/>
      <c r="I39" s="58"/>
      <c r="J39" s="58"/>
      <c r="K39" s="58"/>
      <c r="L39" s="58"/>
      <c r="M39" s="55"/>
      <c r="N39" s="55"/>
      <c r="AG39" s="55"/>
      <c r="AH39" s="55"/>
      <c r="AI39" s="55"/>
    </row>
    <row r="40" spans="1:35" ht="12.75">
      <c r="A40" s="55"/>
      <c r="B40" s="55"/>
      <c r="C40" s="55"/>
      <c r="D40" s="55"/>
      <c r="E40" s="55"/>
      <c r="F40" s="55"/>
      <c r="G40" s="55"/>
      <c r="H40" s="58"/>
      <c r="I40" s="58"/>
      <c r="J40" s="58"/>
      <c r="K40" s="58"/>
      <c r="L40" s="58"/>
      <c r="M40" s="55"/>
      <c r="N40" s="55"/>
      <c r="AG40" s="55"/>
      <c r="AH40" s="55"/>
      <c r="AI40" s="55"/>
    </row>
    <row r="41" spans="1:35" ht="12.75">
      <c r="A41" s="55"/>
      <c r="B41" s="55"/>
      <c r="C41" s="55"/>
      <c r="D41" s="55"/>
      <c r="E41" s="55"/>
      <c r="F41" s="55"/>
      <c r="G41" s="55"/>
      <c r="H41" s="58"/>
      <c r="I41" s="58"/>
      <c r="J41" s="58"/>
      <c r="K41" s="58"/>
      <c r="L41" s="58"/>
      <c r="M41" s="55"/>
      <c r="N41" s="55"/>
      <c r="AG41" s="55"/>
      <c r="AH41" s="55"/>
      <c r="AI41" s="55"/>
    </row>
    <row r="42" spans="1:35" ht="12.75">
      <c r="A42" s="55"/>
      <c r="B42" s="55"/>
      <c r="C42" s="55"/>
      <c r="D42" s="55"/>
      <c r="E42" s="55"/>
      <c r="F42" s="55"/>
      <c r="G42" s="55"/>
      <c r="H42" s="58"/>
      <c r="I42" s="58"/>
      <c r="J42" s="58"/>
      <c r="K42" s="58"/>
      <c r="L42" s="58"/>
      <c r="M42" s="55"/>
      <c r="N42" s="55"/>
      <c r="AG42" s="55"/>
      <c r="AH42" s="55"/>
      <c r="AI42" s="55"/>
    </row>
    <row r="43" spans="1:35" ht="12.75">
      <c r="A43" s="55"/>
      <c r="B43" s="55"/>
      <c r="C43" s="55"/>
      <c r="D43" s="55"/>
      <c r="E43" s="55"/>
      <c r="F43" s="55"/>
      <c r="G43" s="55"/>
      <c r="H43" s="58"/>
      <c r="I43" s="58"/>
      <c r="J43" s="58"/>
      <c r="K43" s="58"/>
      <c r="L43" s="58"/>
      <c r="M43" s="55"/>
      <c r="N43" s="55"/>
      <c r="AG43" s="55"/>
      <c r="AH43" s="55"/>
      <c r="AI43" s="55"/>
    </row>
    <row r="44" spans="1:35" ht="12.75">
      <c r="A44" s="55"/>
      <c r="B44" s="55"/>
      <c r="C44" s="55"/>
      <c r="D44" s="55"/>
      <c r="E44" s="55"/>
      <c r="F44" s="55"/>
      <c r="G44" s="55"/>
      <c r="H44" s="58"/>
      <c r="I44" s="58"/>
      <c r="J44" s="58"/>
      <c r="K44" s="58"/>
      <c r="L44" s="58"/>
      <c r="M44" s="55"/>
      <c r="N44" s="55"/>
      <c r="AG44" s="55"/>
      <c r="AH44" s="55"/>
      <c r="AI44" s="55"/>
    </row>
    <row r="45" spans="1:35" ht="12.75">
      <c r="A45" s="55"/>
      <c r="B45" s="55"/>
      <c r="C45" s="55"/>
      <c r="D45" s="55"/>
      <c r="E45" s="55"/>
      <c r="F45" s="55"/>
      <c r="G45" s="55"/>
      <c r="H45" s="58"/>
      <c r="I45" s="58"/>
      <c r="J45" s="58"/>
      <c r="K45" s="58"/>
      <c r="L45" s="58"/>
      <c r="M45" s="55"/>
      <c r="N45" s="55"/>
      <c r="AG45" s="55"/>
      <c r="AH45" s="55"/>
      <c r="AI45" s="55"/>
    </row>
    <row r="46" spans="1:35" ht="12.75">
      <c r="A46" s="55"/>
      <c r="B46" s="55"/>
      <c r="C46" s="55"/>
      <c r="D46" s="55"/>
      <c r="E46" s="55"/>
      <c r="F46" s="55"/>
      <c r="G46" s="55"/>
      <c r="H46" s="58"/>
      <c r="I46" s="58"/>
      <c r="J46" s="58"/>
      <c r="K46" s="58"/>
      <c r="L46" s="58"/>
      <c r="M46" s="55"/>
      <c r="N46" s="55"/>
      <c r="AG46" s="55"/>
      <c r="AH46" s="55"/>
      <c r="AI46" s="55"/>
    </row>
    <row r="47" spans="1:35" ht="12.75">
      <c r="A47" s="55"/>
      <c r="B47" s="55"/>
      <c r="C47" s="55"/>
      <c r="D47" s="55"/>
      <c r="E47" s="55"/>
      <c r="F47" s="55"/>
      <c r="G47" s="55"/>
      <c r="H47" s="58"/>
      <c r="I47" s="58"/>
      <c r="J47" s="58"/>
      <c r="K47" s="58"/>
      <c r="L47" s="58"/>
      <c r="M47" s="55"/>
      <c r="N47" s="55"/>
      <c r="AG47" s="55"/>
      <c r="AH47" s="55"/>
      <c r="AI47" s="55"/>
    </row>
    <row r="48" spans="1:35" ht="12.75">
      <c r="A48" s="55"/>
      <c r="B48" s="55"/>
      <c r="C48" s="55"/>
      <c r="D48" s="55"/>
      <c r="E48" s="55"/>
      <c r="F48" s="55"/>
      <c r="G48" s="55"/>
      <c r="H48" s="58"/>
      <c r="I48" s="58"/>
      <c r="J48" s="58"/>
      <c r="K48" s="58"/>
      <c r="L48" s="58"/>
      <c r="M48" s="55"/>
      <c r="N48" s="55"/>
      <c r="AG48" s="55"/>
      <c r="AH48" s="55"/>
      <c r="AI48" s="55"/>
    </row>
    <row r="49" spans="1:35" ht="12.75">
      <c r="A49" s="55"/>
      <c r="B49" s="55"/>
      <c r="C49" s="55"/>
      <c r="D49" s="55"/>
      <c r="E49" s="55"/>
      <c r="F49" s="55"/>
      <c r="G49" s="55"/>
      <c r="H49" s="58"/>
      <c r="I49" s="58"/>
      <c r="J49" s="58"/>
      <c r="K49" s="58"/>
      <c r="L49" s="58"/>
      <c r="M49" s="55"/>
      <c r="N49" s="55"/>
      <c r="AG49" s="55"/>
      <c r="AH49" s="55"/>
      <c r="AI49" s="55"/>
    </row>
    <row r="50" spans="1:35" ht="12.75">
      <c r="A50" s="55"/>
      <c r="B50" s="55"/>
      <c r="C50" s="55"/>
      <c r="D50" s="55"/>
      <c r="E50" s="55"/>
      <c r="F50" s="55"/>
      <c r="G50" s="55"/>
      <c r="H50" s="58"/>
      <c r="I50" s="58"/>
      <c r="J50" s="58"/>
      <c r="K50" s="58"/>
      <c r="L50" s="58"/>
      <c r="M50" s="55"/>
      <c r="N50" s="55"/>
      <c r="AG50" s="55"/>
      <c r="AH50" s="55"/>
      <c r="AI50" s="55"/>
    </row>
    <row r="51" spans="13:35" ht="12.75">
      <c r="M51" s="55"/>
      <c r="N51" s="55"/>
      <c r="AG51" s="55"/>
      <c r="AH51" s="55"/>
      <c r="AI51" s="55"/>
    </row>
    <row r="52" spans="13:35" ht="14.25" customHeight="1">
      <c r="M52" s="55"/>
      <c r="N52" s="55"/>
      <c r="AG52" s="55"/>
      <c r="AH52" s="55"/>
      <c r="AI52" s="55"/>
    </row>
    <row r="53" spans="13:35" ht="14.25" customHeight="1">
      <c r="M53" s="55"/>
      <c r="N53" s="55"/>
      <c r="AG53" s="55"/>
      <c r="AH53" s="55"/>
      <c r="AI53" s="55"/>
    </row>
    <row r="54" spans="13:35" ht="12.75">
      <c r="M54" s="55"/>
      <c r="N54" s="55"/>
      <c r="O54" s="55"/>
      <c r="P54" s="55"/>
      <c r="Q54" s="55"/>
      <c r="R54" s="55"/>
      <c r="S54" s="55"/>
      <c r="T54" s="55"/>
      <c r="U54" s="55"/>
      <c r="V54" s="55"/>
      <c r="W54" s="55"/>
      <c r="X54" s="55"/>
      <c r="Y54" s="55"/>
      <c r="Z54" s="55"/>
      <c r="AA54" s="55"/>
      <c r="AB54" s="55"/>
      <c r="AC54" s="55"/>
      <c r="AD54" s="55"/>
      <c r="AE54" s="55"/>
      <c r="AF54" s="55"/>
      <c r="AG54" s="55"/>
      <c r="AH54" s="55"/>
      <c r="AI54" s="55"/>
    </row>
    <row r="55" spans="13:35" ht="12.75">
      <c r="M55" s="55"/>
      <c r="N55" s="55"/>
      <c r="O55" s="55"/>
      <c r="P55" s="55"/>
      <c r="Q55" s="55"/>
      <c r="R55" s="55"/>
      <c r="S55" s="55"/>
      <c r="T55" s="55"/>
      <c r="U55" s="55"/>
      <c r="V55" s="55"/>
      <c r="W55" s="55"/>
      <c r="X55" s="55"/>
      <c r="Y55" s="55"/>
      <c r="Z55" s="55"/>
      <c r="AA55" s="55"/>
      <c r="AB55" s="55"/>
      <c r="AC55" s="55"/>
      <c r="AD55" s="55"/>
      <c r="AE55" s="55"/>
      <c r="AF55" s="55"/>
      <c r="AG55" s="55"/>
      <c r="AH55" s="55"/>
      <c r="AI55" s="55"/>
    </row>
    <row r="56" spans="13:35" ht="12.75">
      <c r="M56" s="55"/>
      <c r="N56" s="55"/>
      <c r="O56" s="55"/>
      <c r="P56" s="55"/>
      <c r="Q56" s="55"/>
      <c r="R56" s="55"/>
      <c r="S56" s="55"/>
      <c r="T56" s="55"/>
      <c r="U56" s="55"/>
      <c r="V56" s="55"/>
      <c r="W56" s="55"/>
      <c r="X56" s="55"/>
      <c r="Y56" s="55"/>
      <c r="Z56" s="55"/>
      <c r="AA56" s="55"/>
      <c r="AB56" s="55"/>
      <c r="AC56" s="55"/>
      <c r="AD56" s="55"/>
      <c r="AE56" s="55"/>
      <c r="AF56" s="55"/>
      <c r="AG56" s="55"/>
      <c r="AH56" s="55"/>
      <c r="AI56" s="55"/>
    </row>
    <row r="57" spans="13:35" ht="12.75">
      <c r="M57" s="55"/>
      <c r="N57" s="55"/>
      <c r="O57" s="55"/>
      <c r="P57" s="55"/>
      <c r="Q57" s="55"/>
      <c r="R57" s="55"/>
      <c r="S57" s="55"/>
      <c r="T57" s="55"/>
      <c r="U57" s="55"/>
      <c r="V57" s="55"/>
      <c r="W57" s="55"/>
      <c r="X57" s="55"/>
      <c r="Y57" s="55"/>
      <c r="Z57" s="55"/>
      <c r="AA57" s="55"/>
      <c r="AB57" s="55"/>
      <c r="AC57" s="55"/>
      <c r="AD57" s="55"/>
      <c r="AE57" s="55"/>
      <c r="AF57" s="55"/>
      <c r="AG57" s="55"/>
      <c r="AH57" s="55"/>
      <c r="AI57" s="55"/>
    </row>
    <row r="58" spans="13:35" ht="12.75">
      <c r="M58" s="55"/>
      <c r="N58" s="55"/>
      <c r="O58" s="55"/>
      <c r="P58" s="55"/>
      <c r="Q58" s="55"/>
      <c r="R58" s="55"/>
      <c r="S58" s="55"/>
      <c r="T58" s="55"/>
      <c r="U58" s="55"/>
      <c r="V58" s="55"/>
      <c r="W58" s="55"/>
      <c r="X58" s="55"/>
      <c r="Y58" s="55"/>
      <c r="Z58" s="55"/>
      <c r="AA58" s="55"/>
      <c r="AB58" s="55"/>
      <c r="AC58" s="55"/>
      <c r="AD58" s="55"/>
      <c r="AE58" s="55"/>
      <c r="AF58" s="55"/>
      <c r="AG58" s="55"/>
      <c r="AH58" s="55"/>
      <c r="AI58" s="55"/>
    </row>
    <row r="59" spans="13:35" ht="12.75">
      <c r="M59" s="55"/>
      <c r="N59" s="55"/>
      <c r="O59" s="55"/>
      <c r="P59" s="55"/>
      <c r="Q59" s="55"/>
      <c r="R59" s="55"/>
      <c r="S59" s="55"/>
      <c r="T59" s="55"/>
      <c r="U59" s="55"/>
      <c r="V59" s="55"/>
      <c r="W59" s="55"/>
      <c r="X59" s="55"/>
      <c r="Y59" s="55"/>
      <c r="Z59" s="55"/>
      <c r="AA59" s="55"/>
      <c r="AB59" s="55"/>
      <c r="AC59" s="55"/>
      <c r="AD59" s="55"/>
      <c r="AE59" s="55"/>
      <c r="AF59" s="55"/>
      <c r="AG59" s="55"/>
      <c r="AH59" s="55"/>
      <c r="AI59" s="55"/>
    </row>
    <row r="60" spans="13:35" ht="12.75">
      <c r="M60" s="55"/>
      <c r="N60" s="55"/>
      <c r="O60" s="55"/>
      <c r="P60" s="55"/>
      <c r="Q60" s="55"/>
      <c r="R60" s="55"/>
      <c r="S60" s="55"/>
      <c r="T60" s="55"/>
      <c r="U60" s="55"/>
      <c r="V60" s="55"/>
      <c r="W60" s="55"/>
      <c r="X60" s="55"/>
      <c r="Y60" s="55"/>
      <c r="Z60" s="55"/>
      <c r="AA60" s="55"/>
      <c r="AB60" s="55"/>
      <c r="AC60" s="55"/>
      <c r="AD60" s="55"/>
      <c r="AE60" s="55"/>
      <c r="AF60" s="55"/>
      <c r="AG60" s="55"/>
      <c r="AH60" s="55"/>
      <c r="AI60" s="55"/>
    </row>
    <row r="61" spans="13:35" ht="12.75">
      <c r="M61" s="55"/>
      <c r="N61" s="55"/>
      <c r="O61" s="55"/>
      <c r="P61" s="55"/>
      <c r="Q61" s="55"/>
      <c r="R61" s="55"/>
      <c r="S61" s="55"/>
      <c r="T61" s="55"/>
      <c r="U61" s="55"/>
      <c r="V61" s="55"/>
      <c r="W61" s="55"/>
      <c r="X61" s="55"/>
      <c r="Y61" s="55"/>
      <c r="Z61" s="55"/>
      <c r="AA61" s="55"/>
      <c r="AB61" s="55"/>
      <c r="AC61" s="55"/>
      <c r="AD61" s="55"/>
      <c r="AE61" s="55"/>
      <c r="AF61" s="55"/>
      <c r="AG61" s="55"/>
      <c r="AH61" s="55"/>
      <c r="AI61" s="55"/>
    </row>
    <row r="62" spans="13:35" ht="12.75">
      <c r="M62" s="55"/>
      <c r="N62" s="55"/>
      <c r="O62" s="55"/>
      <c r="P62" s="55"/>
      <c r="Q62" s="55"/>
      <c r="R62" s="55"/>
      <c r="S62" s="55"/>
      <c r="T62" s="55"/>
      <c r="U62" s="55"/>
      <c r="V62" s="55"/>
      <c r="W62" s="55"/>
      <c r="X62" s="55"/>
      <c r="Y62" s="55"/>
      <c r="Z62" s="55"/>
      <c r="AA62" s="55"/>
      <c r="AB62" s="55"/>
      <c r="AC62" s="55"/>
      <c r="AD62" s="55"/>
      <c r="AE62" s="55"/>
      <c r="AF62" s="55"/>
      <c r="AG62" s="55"/>
      <c r="AH62" s="55"/>
      <c r="AI62" s="55"/>
    </row>
    <row r="63" spans="13:35" ht="12.75">
      <c r="M63" s="55"/>
      <c r="N63" s="55"/>
      <c r="O63" s="55"/>
      <c r="P63" s="55"/>
      <c r="Q63" s="55"/>
      <c r="R63" s="55"/>
      <c r="S63" s="55"/>
      <c r="T63" s="55"/>
      <c r="U63" s="55"/>
      <c r="V63" s="55"/>
      <c r="W63" s="55"/>
      <c r="X63" s="55"/>
      <c r="Y63" s="55"/>
      <c r="Z63" s="55"/>
      <c r="AA63" s="55"/>
      <c r="AB63" s="55"/>
      <c r="AC63" s="55"/>
      <c r="AD63" s="55"/>
      <c r="AE63" s="55"/>
      <c r="AF63" s="55"/>
      <c r="AG63" s="55"/>
      <c r="AH63" s="55"/>
      <c r="AI63" s="55"/>
    </row>
    <row r="64" spans="13:35" ht="12.75">
      <c r="M64" s="55"/>
      <c r="N64" s="55"/>
      <c r="O64" s="55"/>
      <c r="P64" s="55"/>
      <c r="Q64" s="55"/>
      <c r="R64" s="55"/>
      <c r="S64" s="55"/>
      <c r="T64" s="55"/>
      <c r="U64" s="55"/>
      <c r="V64" s="55"/>
      <c r="W64" s="55"/>
      <c r="X64" s="55"/>
      <c r="Y64" s="55"/>
      <c r="Z64" s="55"/>
      <c r="AA64" s="55"/>
      <c r="AB64" s="55"/>
      <c r="AC64" s="55"/>
      <c r="AD64" s="55"/>
      <c r="AE64" s="55"/>
      <c r="AF64" s="55"/>
      <c r="AG64" s="55"/>
      <c r="AH64" s="55"/>
      <c r="AI64" s="55"/>
    </row>
    <row r="65" spans="13:35" ht="12.75">
      <c r="M65" s="55"/>
      <c r="N65" s="55"/>
      <c r="O65" s="55"/>
      <c r="P65" s="55"/>
      <c r="Q65" s="55"/>
      <c r="R65" s="55"/>
      <c r="S65" s="55"/>
      <c r="T65" s="55"/>
      <c r="U65" s="55"/>
      <c r="V65" s="55"/>
      <c r="W65" s="55"/>
      <c r="X65" s="55"/>
      <c r="Y65" s="55"/>
      <c r="Z65" s="55"/>
      <c r="AA65" s="55"/>
      <c r="AB65" s="55"/>
      <c r="AC65" s="55"/>
      <c r="AD65" s="55"/>
      <c r="AE65" s="55"/>
      <c r="AF65" s="55"/>
      <c r="AG65" s="55"/>
      <c r="AH65" s="55"/>
      <c r="AI65" s="55"/>
    </row>
    <row r="66" spans="13:35" ht="12.75">
      <c r="M66" s="55"/>
      <c r="N66" s="55"/>
      <c r="O66" s="55"/>
      <c r="P66" s="55"/>
      <c r="Q66" s="55"/>
      <c r="R66" s="55"/>
      <c r="S66" s="55"/>
      <c r="T66" s="55"/>
      <c r="U66" s="55"/>
      <c r="V66" s="55"/>
      <c r="W66" s="55"/>
      <c r="X66" s="55"/>
      <c r="Y66" s="55"/>
      <c r="Z66" s="55"/>
      <c r="AA66" s="55"/>
      <c r="AB66" s="55"/>
      <c r="AC66" s="55"/>
      <c r="AD66" s="55"/>
      <c r="AE66" s="55"/>
      <c r="AF66" s="55"/>
      <c r="AG66" s="55"/>
      <c r="AH66" s="55"/>
      <c r="AI66" s="55"/>
    </row>
    <row r="67" spans="13:35" ht="12.75">
      <c r="M67" s="55"/>
      <c r="N67" s="55"/>
      <c r="O67" s="55"/>
      <c r="P67" s="55"/>
      <c r="Q67" s="55"/>
      <c r="R67" s="55"/>
      <c r="S67" s="55"/>
      <c r="T67" s="55"/>
      <c r="U67" s="55"/>
      <c r="V67" s="55"/>
      <c r="W67" s="55"/>
      <c r="X67" s="55"/>
      <c r="Y67" s="55"/>
      <c r="Z67" s="55"/>
      <c r="AA67" s="55"/>
      <c r="AB67" s="55"/>
      <c r="AC67" s="55"/>
      <c r="AD67" s="55"/>
      <c r="AE67" s="55"/>
      <c r="AF67" s="55"/>
      <c r="AG67" s="55"/>
      <c r="AH67" s="55"/>
      <c r="AI67" s="55"/>
    </row>
    <row r="68" spans="13:35" ht="12.75">
      <c r="M68" s="55"/>
      <c r="N68" s="55"/>
      <c r="O68" s="55"/>
      <c r="P68" s="55"/>
      <c r="Q68" s="55"/>
      <c r="R68" s="55"/>
      <c r="S68" s="55"/>
      <c r="T68" s="55"/>
      <c r="U68" s="55"/>
      <c r="V68" s="55"/>
      <c r="W68" s="55"/>
      <c r="X68" s="55"/>
      <c r="Y68" s="55"/>
      <c r="Z68" s="55"/>
      <c r="AA68" s="55"/>
      <c r="AB68" s="55"/>
      <c r="AC68" s="55"/>
      <c r="AD68" s="55"/>
      <c r="AE68" s="55"/>
      <c r="AF68" s="55"/>
      <c r="AG68" s="55"/>
      <c r="AH68" s="55"/>
      <c r="AI68" s="55"/>
    </row>
    <row r="69" spans="13:35" ht="12.75">
      <c r="M69" s="55"/>
      <c r="N69" s="55"/>
      <c r="O69" s="55"/>
      <c r="P69" s="55"/>
      <c r="Q69" s="55"/>
      <c r="R69" s="55"/>
      <c r="S69" s="55"/>
      <c r="T69" s="55"/>
      <c r="U69" s="55"/>
      <c r="V69" s="55"/>
      <c r="W69" s="55"/>
      <c r="X69" s="55"/>
      <c r="Y69" s="55"/>
      <c r="Z69" s="55"/>
      <c r="AA69" s="55"/>
      <c r="AB69" s="55"/>
      <c r="AC69" s="55"/>
      <c r="AD69" s="55"/>
      <c r="AE69" s="55"/>
      <c r="AF69" s="55"/>
      <c r="AG69" s="55"/>
      <c r="AH69" s="55"/>
      <c r="AI69" s="55"/>
    </row>
    <row r="70" spans="13:35" ht="12.75">
      <c r="M70" s="55"/>
      <c r="N70" s="55"/>
      <c r="O70" s="55"/>
      <c r="P70" s="55"/>
      <c r="Q70" s="55"/>
      <c r="R70" s="55"/>
      <c r="S70" s="55"/>
      <c r="T70" s="55"/>
      <c r="U70" s="55"/>
      <c r="V70" s="55"/>
      <c r="W70" s="55"/>
      <c r="X70" s="55"/>
      <c r="Y70" s="55"/>
      <c r="Z70" s="55"/>
      <c r="AA70" s="55"/>
      <c r="AB70" s="55"/>
      <c r="AC70" s="55"/>
      <c r="AD70" s="55"/>
      <c r="AE70" s="55"/>
      <c r="AF70" s="55"/>
      <c r="AG70" s="55"/>
      <c r="AH70" s="55"/>
      <c r="AI70" s="55"/>
    </row>
    <row r="71" spans="13:35" ht="12.75">
      <c r="M71" s="55"/>
      <c r="N71" s="55"/>
      <c r="O71" s="55"/>
      <c r="P71" s="55"/>
      <c r="Q71" s="55"/>
      <c r="R71" s="55"/>
      <c r="S71" s="55"/>
      <c r="T71" s="55"/>
      <c r="U71" s="55"/>
      <c r="V71" s="55"/>
      <c r="W71" s="55"/>
      <c r="X71" s="55"/>
      <c r="Y71" s="55"/>
      <c r="Z71" s="55"/>
      <c r="AA71" s="55"/>
      <c r="AB71" s="55"/>
      <c r="AC71" s="55"/>
      <c r="AD71" s="55"/>
      <c r="AE71" s="55"/>
      <c r="AF71" s="55"/>
      <c r="AG71" s="55"/>
      <c r="AH71" s="55"/>
      <c r="AI71" s="55"/>
    </row>
    <row r="72" spans="13:35" ht="12.75">
      <c r="M72" s="55"/>
      <c r="N72" s="55"/>
      <c r="O72" s="55"/>
      <c r="P72" s="55"/>
      <c r="Q72" s="55"/>
      <c r="R72" s="55"/>
      <c r="S72" s="55"/>
      <c r="T72" s="55"/>
      <c r="U72" s="55"/>
      <c r="V72" s="55"/>
      <c r="W72" s="55"/>
      <c r="X72" s="55"/>
      <c r="Y72" s="55"/>
      <c r="Z72" s="55"/>
      <c r="AA72" s="55"/>
      <c r="AB72" s="55"/>
      <c r="AC72" s="55"/>
      <c r="AD72" s="55"/>
      <c r="AE72" s="55"/>
      <c r="AF72" s="55"/>
      <c r="AG72" s="55"/>
      <c r="AH72" s="55"/>
      <c r="AI72" s="55"/>
    </row>
    <row r="73" spans="13:35" ht="12.75">
      <c r="M73" s="55"/>
      <c r="N73" s="55"/>
      <c r="O73" s="55"/>
      <c r="P73" s="55"/>
      <c r="Q73" s="55"/>
      <c r="R73" s="55"/>
      <c r="S73" s="55"/>
      <c r="T73" s="55"/>
      <c r="U73" s="55"/>
      <c r="V73" s="55"/>
      <c r="W73" s="55"/>
      <c r="X73" s="55"/>
      <c r="Y73" s="55"/>
      <c r="Z73" s="55"/>
      <c r="AA73" s="55"/>
      <c r="AB73" s="55"/>
      <c r="AC73" s="55"/>
      <c r="AD73" s="55"/>
      <c r="AE73" s="55"/>
      <c r="AF73" s="55"/>
      <c r="AG73" s="55"/>
      <c r="AH73" s="55"/>
      <c r="AI73" s="55"/>
    </row>
    <row r="74" spans="13:35" ht="12.75" customHeight="1">
      <c r="M74" s="55"/>
      <c r="N74" s="55"/>
      <c r="O74" s="55"/>
      <c r="P74" s="55"/>
      <c r="Q74" s="55"/>
      <c r="R74" s="55"/>
      <c r="S74" s="55"/>
      <c r="T74" s="55"/>
      <c r="U74" s="55"/>
      <c r="V74" s="55"/>
      <c r="W74" s="55"/>
      <c r="X74" s="55"/>
      <c r="Y74" s="55"/>
      <c r="Z74" s="55"/>
      <c r="AA74" s="55"/>
      <c r="AB74" s="55"/>
      <c r="AC74" s="55"/>
      <c r="AD74" s="55"/>
      <c r="AE74" s="55"/>
      <c r="AF74" s="55"/>
      <c r="AG74" s="55"/>
      <c r="AH74" s="55"/>
      <c r="AI74" s="55"/>
    </row>
    <row r="75" spans="13:35" ht="12.75">
      <c r="M75" s="55"/>
      <c r="N75" s="55"/>
      <c r="O75" s="55"/>
      <c r="P75" s="55"/>
      <c r="Q75" s="55"/>
      <c r="R75" s="55"/>
      <c r="S75" s="55"/>
      <c r="T75" s="55"/>
      <c r="U75" s="55"/>
      <c r="V75" s="55"/>
      <c r="W75" s="55"/>
      <c r="X75" s="55"/>
      <c r="Y75" s="55"/>
      <c r="Z75" s="55"/>
      <c r="AA75" s="55"/>
      <c r="AB75" s="55"/>
      <c r="AC75" s="55"/>
      <c r="AD75" s="55"/>
      <c r="AE75" s="55"/>
      <c r="AF75" s="55"/>
      <c r="AG75" s="55"/>
      <c r="AH75" s="55"/>
      <c r="AI75" s="55"/>
    </row>
    <row r="76" spans="13:35" ht="12.75">
      <c r="M76" s="55"/>
      <c r="N76" s="55"/>
      <c r="O76" s="55"/>
      <c r="P76" s="55"/>
      <c r="Q76" s="55"/>
      <c r="R76" s="55"/>
      <c r="S76" s="55"/>
      <c r="T76" s="55"/>
      <c r="U76" s="55"/>
      <c r="V76" s="55"/>
      <c r="W76" s="55"/>
      <c r="X76" s="55"/>
      <c r="Y76" s="55"/>
      <c r="Z76" s="55"/>
      <c r="AA76" s="55"/>
      <c r="AB76" s="55"/>
      <c r="AC76" s="55"/>
      <c r="AD76" s="55"/>
      <c r="AE76" s="55"/>
      <c r="AF76" s="55"/>
      <c r="AG76" s="55"/>
      <c r="AH76" s="55"/>
      <c r="AI76" s="55"/>
    </row>
    <row r="77" spans="13:35" ht="12.75">
      <c r="M77" s="55"/>
      <c r="N77" s="55"/>
      <c r="O77" s="55"/>
      <c r="P77" s="55"/>
      <c r="Q77" s="55"/>
      <c r="R77" s="55"/>
      <c r="S77" s="55"/>
      <c r="T77" s="55"/>
      <c r="U77" s="55"/>
      <c r="V77" s="55"/>
      <c r="W77" s="55"/>
      <c r="X77" s="55"/>
      <c r="Y77" s="55"/>
      <c r="Z77" s="55"/>
      <c r="AA77" s="55"/>
      <c r="AB77" s="55"/>
      <c r="AC77" s="55"/>
      <c r="AD77" s="55"/>
      <c r="AE77" s="55"/>
      <c r="AF77" s="55"/>
      <c r="AG77" s="55"/>
      <c r="AH77" s="55"/>
      <c r="AI77" s="55"/>
    </row>
    <row r="78" spans="13:35" ht="12.75">
      <c r="M78" s="55"/>
      <c r="N78" s="55"/>
      <c r="O78" s="55"/>
      <c r="P78" s="55"/>
      <c r="Q78" s="55"/>
      <c r="R78" s="55"/>
      <c r="S78" s="55"/>
      <c r="T78" s="55"/>
      <c r="U78" s="55"/>
      <c r="V78" s="55"/>
      <c r="W78" s="55"/>
      <c r="X78" s="55"/>
      <c r="Y78" s="55"/>
      <c r="Z78" s="55"/>
      <c r="AA78" s="55"/>
      <c r="AB78" s="55"/>
      <c r="AC78" s="55"/>
      <c r="AD78" s="55"/>
      <c r="AE78" s="55"/>
      <c r="AF78" s="55"/>
      <c r="AG78" s="55"/>
      <c r="AH78" s="55"/>
      <c r="AI78" s="55"/>
    </row>
    <row r="79" spans="13:35" ht="12.75">
      <c r="M79" s="55"/>
      <c r="N79" s="55"/>
      <c r="O79" s="55"/>
      <c r="P79" s="55"/>
      <c r="Q79" s="55"/>
      <c r="R79" s="55"/>
      <c r="S79" s="55"/>
      <c r="T79" s="55"/>
      <c r="U79" s="55"/>
      <c r="V79" s="55"/>
      <c r="W79" s="55"/>
      <c r="X79" s="55"/>
      <c r="Y79" s="55"/>
      <c r="Z79" s="55"/>
      <c r="AA79" s="55"/>
      <c r="AB79" s="55"/>
      <c r="AC79" s="55"/>
      <c r="AD79" s="55"/>
      <c r="AE79" s="55"/>
      <c r="AF79" s="55"/>
      <c r="AG79" s="55"/>
      <c r="AH79" s="55"/>
      <c r="AI79" s="55"/>
    </row>
    <row r="80" spans="13:35" ht="12.75">
      <c r="M80" s="55"/>
      <c r="N80" s="55"/>
      <c r="O80" s="55"/>
      <c r="P80" s="198"/>
      <c r="Q80" s="55"/>
      <c r="R80" s="55"/>
      <c r="S80" s="55"/>
      <c r="T80" s="55"/>
      <c r="U80" s="55"/>
      <c r="V80" s="55"/>
      <c r="W80" s="55"/>
      <c r="X80" s="55"/>
      <c r="Y80" s="55"/>
      <c r="Z80" s="55"/>
      <c r="AA80" s="55"/>
      <c r="AB80" s="55"/>
      <c r="AC80" s="55"/>
      <c r="AD80" s="55"/>
      <c r="AE80" s="55"/>
      <c r="AF80" s="55"/>
      <c r="AG80" s="55"/>
      <c r="AH80" s="55"/>
      <c r="AI80" s="55"/>
    </row>
    <row r="81" spans="13:35" ht="12.75">
      <c r="M81" s="55"/>
      <c r="N81" s="55"/>
      <c r="O81" s="55"/>
      <c r="P81" s="55"/>
      <c r="Q81" s="55"/>
      <c r="R81" s="55"/>
      <c r="S81" s="55"/>
      <c r="T81" s="55"/>
      <c r="U81" s="55"/>
      <c r="V81" s="55"/>
      <c r="W81" s="55"/>
      <c r="X81" s="55"/>
      <c r="Y81" s="55"/>
      <c r="Z81" s="55"/>
      <c r="AA81" s="55"/>
      <c r="AB81" s="55"/>
      <c r="AC81" s="55"/>
      <c r="AD81" s="55"/>
      <c r="AE81" s="55"/>
      <c r="AF81" s="55"/>
      <c r="AG81" s="55"/>
      <c r="AH81" s="55"/>
      <c r="AI81" s="55"/>
    </row>
    <row r="82" spans="13:35" ht="12.75">
      <c r="M82" s="55"/>
      <c r="N82" s="55"/>
      <c r="O82" s="55"/>
      <c r="P82" s="55"/>
      <c r="Q82" s="55"/>
      <c r="R82" s="55"/>
      <c r="S82" s="55"/>
      <c r="T82" s="55"/>
      <c r="U82" s="55"/>
      <c r="V82" s="55"/>
      <c r="W82" s="55"/>
      <c r="X82" s="55"/>
      <c r="Y82" s="55"/>
      <c r="Z82" s="55"/>
      <c r="AA82" s="55"/>
      <c r="AB82" s="55"/>
      <c r="AC82" s="55"/>
      <c r="AD82" s="55"/>
      <c r="AE82" s="55"/>
      <c r="AF82" s="55"/>
      <c r="AG82" s="55"/>
      <c r="AH82" s="55"/>
      <c r="AI82" s="55"/>
    </row>
    <row r="83" spans="13:35" ht="12.75">
      <c r="M83" s="55"/>
      <c r="N83" s="55"/>
      <c r="O83" s="55"/>
      <c r="P83" s="55"/>
      <c r="Q83" s="55"/>
      <c r="R83" s="55"/>
      <c r="S83" s="55"/>
      <c r="T83" s="55"/>
      <c r="U83" s="55"/>
      <c r="V83" s="55"/>
      <c r="W83" s="55"/>
      <c r="X83" s="55"/>
      <c r="Y83" s="55"/>
      <c r="Z83" s="55"/>
      <c r="AA83" s="55"/>
      <c r="AB83" s="55"/>
      <c r="AC83" s="55"/>
      <c r="AD83" s="55"/>
      <c r="AE83" s="55"/>
      <c r="AF83" s="55"/>
      <c r="AG83" s="55"/>
      <c r="AH83" s="55"/>
      <c r="AI83" s="55"/>
    </row>
    <row r="84" spans="13:35" ht="12.75">
      <c r="M84" s="55"/>
      <c r="N84" s="55"/>
      <c r="O84" s="55"/>
      <c r="P84" s="55"/>
      <c r="Q84" s="55"/>
      <c r="R84" s="55"/>
      <c r="S84" s="55"/>
      <c r="T84" s="55"/>
      <c r="U84" s="55"/>
      <c r="V84" s="55"/>
      <c r="W84" s="55"/>
      <c r="X84" s="55"/>
      <c r="Y84" s="55"/>
      <c r="Z84" s="55"/>
      <c r="AA84" s="55"/>
      <c r="AB84" s="55"/>
      <c r="AC84" s="55"/>
      <c r="AD84" s="55"/>
      <c r="AE84" s="55"/>
      <c r="AF84" s="55"/>
      <c r="AG84" s="55"/>
      <c r="AH84" s="55"/>
      <c r="AI84" s="55"/>
    </row>
    <row r="85" spans="13:35" ht="12.75">
      <c r="M85" s="55"/>
      <c r="N85" s="55"/>
      <c r="O85" s="55"/>
      <c r="P85" s="55"/>
      <c r="Q85" s="55"/>
      <c r="R85" s="55"/>
      <c r="S85" s="55"/>
      <c r="T85" s="55"/>
      <c r="U85" s="55"/>
      <c r="V85" s="55"/>
      <c r="W85" s="55"/>
      <c r="X85" s="55"/>
      <c r="Y85" s="55"/>
      <c r="Z85" s="55"/>
      <c r="AA85" s="55"/>
      <c r="AB85" s="55"/>
      <c r="AC85" s="55"/>
      <c r="AD85" s="55"/>
      <c r="AE85" s="55"/>
      <c r="AF85" s="55"/>
      <c r="AG85" s="55"/>
      <c r="AH85" s="55"/>
      <c r="AI85" s="55"/>
    </row>
    <row r="86" spans="13:35" ht="12.75">
      <c r="M86" s="55"/>
      <c r="N86" s="55"/>
      <c r="O86" s="55"/>
      <c r="P86" s="55"/>
      <c r="Q86" s="55"/>
      <c r="R86" s="55"/>
      <c r="S86" s="55"/>
      <c r="T86" s="55"/>
      <c r="U86" s="55"/>
      <c r="V86" s="55"/>
      <c r="W86" s="55"/>
      <c r="X86" s="55"/>
      <c r="Y86" s="55"/>
      <c r="Z86" s="55"/>
      <c r="AA86" s="55"/>
      <c r="AB86" s="55"/>
      <c r="AC86" s="55"/>
      <c r="AD86" s="55"/>
      <c r="AE86" s="55"/>
      <c r="AF86" s="55"/>
      <c r="AG86" s="55"/>
      <c r="AH86" s="55"/>
      <c r="AI86" s="55"/>
    </row>
    <row r="87" spans="13:35" ht="12.75">
      <c r="M87" s="55"/>
      <c r="N87" s="55"/>
      <c r="O87" s="55"/>
      <c r="P87" s="55"/>
      <c r="Q87" s="55"/>
      <c r="R87" s="55"/>
      <c r="S87" s="55"/>
      <c r="T87" s="55"/>
      <c r="U87" s="55"/>
      <c r="V87" s="55"/>
      <c r="W87" s="55"/>
      <c r="X87" s="55"/>
      <c r="Y87" s="55"/>
      <c r="Z87" s="55"/>
      <c r="AA87" s="55"/>
      <c r="AB87" s="55"/>
      <c r="AC87" s="55"/>
      <c r="AD87" s="55"/>
      <c r="AE87" s="55"/>
      <c r="AF87" s="55"/>
      <c r="AG87" s="55"/>
      <c r="AH87" s="55"/>
      <c r="AI87" s="55"/>
    </row>
    <row r="88" spans="13:35" ht="12.75">
      <c r="M88" s="55"/>
      <c r="N88" s="55"/>
      <c r="O88" s="55"/>
      <c r="P88" s="55"/>
      <c r="Q88" s="55"/>
      <c r="R88" s="55"/>
      <c r="S88" s="55"/>
      <c r="T88" s="55"/>
      <c r="U88" s="55"/>
      <c r="V88" s="55"/>
      <c r="W88" s="55"/>
      <c r="X88" s="55"/>
      <c r="Y88" s="55"/>
      <c r="Z88" s="55"/>
      <c r="AA88" s="55"/>
      <c r="AB88" s="55"/>
      <c r="AC88" s="55"/>
      <c r="AD88" s="55"/>
      <c r="AE88" s="55"/>
      <c r="AF88" s="55"/>
      <c r="AG88" s="55"/>
      <c r="AH88" s="55"/>
      <c r="AI88" s="55"/>
    </row>
    <row r="89" spans="13:35" ht="12.75">
      <c r="M89" s="55"/>
      <c r="N89" s="55"/>
      <c r="O89" s="55"/>
      <c r="P89" s="55"/>
      <c r="Q89" s="55"/>
      <c r="R89" s="55"/>
      <c r="S89" s="55"/>
      <c r="T89" s="55"/>
      <c r="U89" s="55"/>
      <c r="V89" s="55"/>
      <c r="W89" s="55"/>
      <c r="X89" s="55"/>
      <c r="Y89" s="55"/>
      <c r="Z89" s="55"/>
      <c r="AA89" s="55"/>
      <c r="AB89" s="55"/>
      <c r="AC89" s="55"/>
      <c r="AD89" s="55"/>
      <c r="AE89" s="55"/>
      <c r="AF89" s="55"/>
      <c r="AG89" s="55"/>
      <c r="AH89" s="55"/>
      <c r="AI89" s="55"/>
    </row>
    <row r="90" spans="13:35" ht="12.75">
      <c r="M90" s="55"/>
      <c r="N90" s="55"/>
      <c r="O90" s="55"/>
      <c r="P90" s="55"/>
      <c r="Q90" s="55"/>
      <c r="R90" s="55"/>
      <c r="S90" s="55"/>
      <c r="T90" s="55"/>
      <c r="U90" s="55"/>
      <c r="V90" s="55"/>
      <c r="W90" s="55"/>
      <c r="X90" s="55"/>
      <c r="Y90" s="55"/>
      <c r="Z90" s="55"/>
      <c r="AA90" s="55"/>
      <c r="AB90" s="55"/>
      <c r="AC90" s="55"/>
      <c r="AD90" s="55"/>
      <c r="AE90" s="55"/>
      <c r="AF90" s="55"/>
      <c r="AG90" s="55"/>
      <c r="AH90" s="55"/>
      <c r="AI90" s="55"/>
    </row>
    <row r="91" spans="13:35" ht="12.75">
      <c r="M91" s="55"/>
      <c r="N91" s="55"/>
      <c r="O91" s="55"/>
      <c r="P91" s="55"/>
      <c r="Q91" s="55"/>
      <c r="R91" s="55"/>
      <c r="S91" s="55"/>
      <c r="T91" s="55"/>
      <c r="U91" s="55"/>
      <c r="V91" s="55"/>
      <c r="W91" s="55"/>
      <c r="X91" s="55"/>
      <c r="Y91" s="55"/>
      <c r="Z91" s="55"/>
      <c r="AA91" s="55"/>
      <c r="AB91" s="55"/>
      <c r="AC91" s="55"/>
      <c r="AD91" s="55"/>
      <c r="AE91" s="55"/>
      <c r="AF91" s="55"/>
      <c r="AG91" s="55"/>
      <c r="AH91" s="55"/>
      <c r="AI91" s="55"/>
    </row>
    <row r="92" spans="13:35" ht="12.75">
      <c r="M92" s="55"/>
      <c r="N92" s="55"/>
      <c r="O92" s="55"/>
      <c r="P92" s="55"/>
      <c r="Q92" s="55"/>
      <c r="R92" s="55"/>
      <c r="S92" s="55"/>
      <c r="T92" s="55"/>
      <c r="U92" s="55"/>
      <c r="V92" s="55"/>
      <c r="W92" s="55"/>
      <c r="X92" s="55"/>
      <c r="Y92" s="55"/>
      <c r="Z92" s="55"/>
      <c r="AA92" s="55"/>
      <c r="AB92" s="55"/>
      <c r="AC92" s="55"/>
      <c r="AD92" s="55"/>
      <c r="AE92" s="55"/>
      <c r="AF92" s="55"/>
      <c r="AG92" s="55"/>
      <c r="AH92" s="55"/>
      <c r="AI92" s="55"/>
    </row>
    <row r="93" spans="1:35" ht="12.7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I93" s="55"/>
    </row>
    <row r="94" spans="1:35" ht="12.7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I94" s="55"/>
    </row>
    <row r="95" spans="15:35" ht="12.75">
      <c r="O95" s="55"/>
      <c r="P95" s="55"/>
      <c r="Q95" s="55"/>
      <c r="R95" s="55"/>
      <c r="S95" s="55"/>
      <c r="T95" s="55"/>
      <c r="U95" s="55"/>
      <c r="V95" s="55"/>
      <c r="W95" s="55"/>
      <c r="X95" s="55"/>
      <c r="Y95" s="55"/>
      <c r="Z95" s="55"/>
      <c r="AA95" s="55"/>
      <c r="AB95" s="55"/>
      <c r="AC95" s="55"/>
      <c r="AD95" s="55"/>
      <c r="AE95" s="55"/>
      <c r="AF95" s="55"/>
      <c r="AG95" s="55"/>
      <c r="AI95" s="55"/>
    </row>
    <row r="96" spans="15:35" ht="12.75">
      <c r="O96" s="55"/>
      <c r="P96" s="55"/>
      <c r="Q96" s="55"/>
      <c r="R96" s="55"/>
      <c r="S96" s="55"/>
      <c r="T96" s="55"/>
      <c r="U96" s="55"/>
      <c r="V96" s="55"/>
      <c r="W96" s="55"/>
      <c r="X96" s="55"/>
      <c r="Y96" s="55"/>
      <c r="Z96" s="55"/>
      <c r="AA96" s="55"/>
      <c r="AB96" s="55"/>
      <c r="AC96" s="55"/>
      <c r="AD96" s="55"/>
      <c r="AE96" s="55"/>
      <c r="AF96" s="55"/>
      <c r="AG96" s="55"/>
      <c r="AI96" s="55"/>
    </row>
    <row r="97" spans="15:35" ht="12.75">
      <c r="O97" s="55"/>
      <c r="P97" s="55"/>
      <c r="Q97" s="55"/>
      <c r="R97" s="55"/>
      <c r="S97" s="55"/>
      <c r="T97" s="55"/>
      <c r="U97" s="55"/>
      <c r="V97" s="55"/>
      <c r="W97" s="55"/>
      <c r="X97" s="55"/>
      <c r="Y97" s="55"/>
      <c r="Z97" s="55"/>
      <c r="AA97" s="55"/>
      <c r="AB97" s="55"/>
      <c r="AC97" s="55"/>
      <c r="AD97" s="55"/>
      <c r="AE97" s="55"/>
      <c r="AF97" s="55"/>
      <c r="AG97" s="55"/>
      <c r="AI97" s="55"/>
    </row>
    <row r="98" ht="12.75">
      <c r="AI98" s="55"/>
    </row>
    <row r="99" ht="12.75">
      <c r="AI99" s="55"/>
    </row>
    <row r="100" ht="12.75">
      <c r="AI100" s="55"/>
    </row>
    <row r="101" ht="12.75">
      <c r="AI101" s="55"/>
    </row>
    <row r="102" ht="12.75">
      <c r="AI102" s="55"/>
    </row>
    <row r="103" ht="12.75">
      <c r="AI103" s="55"/>
    </row>
    <row r="104" ht="12.75">
      <c r="AI104" s="55"/>
    </row>
    <row r="105" ht="12.75">
      <c r="AI105" s="55"/>
    </row>
    <row r="106" ht="12.75">
      <c r="AI106" s="55"/>
    </row>
    <row r="107" ht="12.75">
      <c r="AI107" s="55"/>
    </row>
    <row r="108" ht="12.75">
      <c r="AI108" s="55"/>
    </row>
    <row r="109" ht="12.75">
      <c r="AI109" s="55"/>
    </row>
    <row r="110" ht="12.75">
      <c r="AI110" s="55"/>
    </row>
    <row r="111" ht="12.75">
      <c r="AI111" s="55"/>
    </row>
    <row r="112" ht="12.75">
      <c r="AI112" s="55"/>
    </row>
    <row r="113" ht="12.75">
      <c r="AI113" s="55"/>
    </row>
    <row r="114" ht="12.75">
      <c r="AI114" s="55"/>
    </row>
    <row r="115" ht="12.75">
      <c r="AI115" s="55"/>
    </row>
    <row r="116" ht="12.75">
      <c r="AI116" s="55"/>
    </row>
    <row r="117" ht="12.75">
      <c r="AI117" s="55"/>
    </row>
    <row r="118" ht="12.75">
      <c r="AI118" s="55"/>
    </row>
    <row r="119" ht="12.75">
      <c r="AI119" s="55"/>
    </row>
    <row r="120" ht="12.75">
      <c r="AI120" s="55"/>
    </row>
    <row r="121" ht="12.75">
      <c r="AI121" s="55"/>
    </row>
    <row r="122" ht="12.75">
      <c r="AI122" s="55"/>
    </row>
    <row r="123" ht="12.75">
      <c r="AI123" s="55"/>
    </row>
    <row r="124" ht="12.75">
      <c r="AI124" s="55"/>
    </row>
    <row r="125" ht="12.75">
      <c r="AI125" s="55"/>
    </row>
    <row r="126" ht="12.75">
      <c r="AI126" s="55"/>
    </row>
    <row r="127" ht="12.75">
      <c r="AI127" s="55"/>
    </row>
    <row r="128" ht="12.75">
      <c r="AI128" s="55"/>
    </row>
    <row r="129" ht="12.75">
      <c r="AI129" s="55"/>
    </row>
    <row r="130" ht="12.75">
      <c r="AI130" s="55"/>
    </row>
    <row r="131" ht="12.75">
      <c r="AI131" s="55"/>
    </row>
    <row r="132" ht="12.75">
      <c r="AI132" s="55"/>
    </row>
    <row r="133" ht="12.75">
      <c r="AI133" s="55"/>
    </row>
    <row r="134" ht="12.75">
      <c r="AI134" s="55"/>
    </row>
    <row r="135" ht="12.75">
      <c r="AI135" s="55"/>
    </row>
    <row r="136" ht="12.75">
      <c r="AI136" s="55"/>
    </row>
    <row r="137" ht="12.75">
      <c r="AI137" s="55"/>
    </row>
    <row r="138" ht="12.75">
      <c r="AI138" s="55"/>
    </row>
    <row r="139" ht="12.75">
      <c r="AI139" s="55"/>
    </row>
    <row r="140" ht="12.75">
      <c r="AI140" s="55"/>
    </row>
    <row r="141" ht="12.75">
      <c r="AI141" s="55"/>
    </row>
    <row r="142" ht="12.75">
      <c r="AI142" s="55"/>
    </row>
    <row r="143" ht="12.75">
      <c r="AI143" s="55"/>
    </row>
    <row r="144" ht="12.75">
      <c r="AI144" s="55"/>
    </row>
    <row r="145" ht="12.75">
      <c r="AI145" s="55"/>
    </row>
    <row r="146" ht="12.75">
      <c r="AI146" s="55"/>
    </row>
  </sheetData>
  <sheetProtection formatCells="0" formatColumns="0" formatRows="0"/>
  <mergeCells count="12">
    <mergeCell ref="B9:C9"/>
    <mergeCell ref="B10:C10"/>
    <mergeCell ref="B11:C11"/>
    <mergeCell ref="B16:D16"/>
    <mergeCell ref="D13:F13"/>
    <mergeCell ref="G13:H13"/>
    <mergeCell ref="B15:C15"/>
    <mergeCell ref="B22:D22"/>
    <mergeCell ref="B24:D24"/>
    <mergeCell ref="B21:D21"/>
    <mergeCell ref="B17:D17"/>
    <mergeCell ref="B18:C18"/>
  </mergeCells>
  <printOptions/>
  <pageMargins left="0.67" right="0.66" top="0.52" bottom="0.53" header="0.5" footer="0.5"/>
  <pageSetup fitToHeight="1" fitToWidth="1" horizontalDpi="360" verticalDpi="360" orientation="landscape" scale="34" r:id="rId4"/>
  <drawing r:id="rId3"/>
  <legacyDrawing r:id="rId2"/>
</worksheet>
</file>

<file path=xl/worksheets/sheet4.xml><?xml version="1.0" encoding="utf-8"?>
<worksheet xmlns="http://schemas.openxmlformats.org/spreadsheetml/2006/main" xmlns:r="http://schemas.openxmlformats.org/officeDocument/2006/relationships">
  <sheetPr codeName="Sheet6"/>
  <dimension ref="B3:AG53"/>
  <sheetViews>
    <sheetView showGridLines="0" zoomScalePageLayoutView="0" workbookViewId="0" topLeftCell="A1">
      <selection activeCell="D29" sqref="D29"/>
    </sheetView>
  </sheetViews>
  <sheetFormatPr defaultColWidth="9.140625" defaultRowHeight="12.75"/>
  <cols>
    <col min="2" max="2" width="20.7109375" style="0" customWidth="1"/>
    <col min="4" max="4" width="12.7109375" style="0" customWidth="1"/>
    <col min="5" max="5" width="13.57421875" style="0" customWidth="1"/>
    <col min="6" max="6" width="17.00390625" style="0" customWidth="1"/>
    <col min="7" max="7" width="14.28125" style="0" customWidth="1"/>
    <col min="8" max="12" width="10.7109375" style="0" customWidth="1"/>
    <col min="17" max="19" width="9.7109375" style="0" customWidth="1"/>
    <col min="20" max="31" width="10.7109375" style="0" customWidth="1"/>
  </cols>
  <sheetData>
    <row r="3" spans="2:13" ht="12.75">
      <c r="B3" s="185"/>
      <c r="C3" s="185"/>
      <c r="D3" s="185"/>
      <c r="E3" s="184"/>
      <c r="F3" s="58"/>
      <c r="G3" s="58"/>
      <c r="H3" s="58"/>
      <c r="I3" s="58"/>
      <c r="J3" s="58"/>
      <c r="K3" s="58"/>
      <c r="L3" s="58"/>
      <c r="M3" s="58"/>
    </row>
    <row r="4" spans="2:33" ht="12.75">
      <c r="B4" s="547" t="s">
        <v>247</v>
      </c>
      <c r="C4" s="548"/>
      <c r="D4" s="548"/>
      <c r="E4" s="548"/>
      <c r="F4" s="548"/>
      <c r="G4" s="548"/>
      <c r="H4" s="548"/>
      <c r="I4" s="548"/>
      <c r="J4" s="548"/>
      <c r="K4" s="548"/>
      <c r="L4" s="549"/>
      <c r="M4" s="58"/>
      <c r="P4" s="58"/>
      <c r="Q4" s="58"/>
      <c r="R4" s="58"/>
      <c r="S4" s="58"/>
      <c r="T4" s="58"/>
      <c r="U4" s="58"/>
      <c r="V4" s="58"/>
      <c r="W4" s="58"/>
      <c r="X4" s="58"/>
      <c r="Y4" s="58"/>
      <c r="Z4" s="58"/>
      <c r="AA4" s="58"/>
      <c r="AB4" s="58"/>
      <c r="AC4" s="55"/>
      <c r="AD4" s="55"/>
      <c r="AE4" s="55"/>
      <c r="AF4" s="55"/>
      <c r="AG4" s="55"/>
    </row>
    <row r="5" spans="2:33" ht="12.75">
      <c r="B5" s="185"/>
      <c r="C5" s="185"/>
      <c r="D5" s="143" t="s">
        <v>58</v>
      </c>
      <c r="E5" s="55"/>
      <c r="F5" s="58"/>
      <c r="G5" s="58"/>
      <c r="H5" s="58"/>
      <c r="I5" s="58"/>
      <c r="J5" s="58"/>
      <c r="K5" s="58"/>
      <c r="L5" s="58"/>
      <c r="M5" s="58"/>
      <c r="P5" s="58"/>
      <c r="Q5" s="58"/>
      <c r="R5" s="58"/>
      <c r="S5" s="58"/>
      <c r="T5" s="134"/>
      <c r="U5" s="135"/>
      <c r="V5" s="136"/>
      <c r="W5" s="134"/>
      <c r="X5" s="135"/>
      <c r="Y5" s="136"/>
      <c r="Z5" s="134"/>
      <c r="AA5" s="137"/>
      <c r="AB5" s="136"/>
      <c r="AC5" s="550" t="s">
        <v>151</v>
      </c>
      <c r="AD5" s="540"/>
      <c r="AE5" s="138"/>
      <c r="AF5" s="55"/>
      <c r="AG5" s="55"/>
    </row>
    <row r="6" spans="2:33" ht="12.75">
      <c r="B6" s="58"/>
      <c r="C6" s="58"/>
      <c r="D6" s="143" t="s">
        <v>207</v>
      </c>
      <c r="E6" s="55"/>
      <c r="F6" s="58"/>
      <c r="G6" s="58"/>
      <c r="H6" s="58"/>
      <c r="I6" s="58"/>
      <c r="J6" s="58"/>
      <c r="K6" s="58"/>
      <c r="L6" s="58"/>
      <c r="M6" s="58"/>
      <c r="P6" s="57"/>
      <c r="Q6" s="541" t="s">
        <v>22</v>
      </c>
      <c r="R6" s="541"/>
      <c r="S6" s="140" t="s">
        <v>269</v>
      </c>
      <c r="T6" s="544" t="s">
        <v>160</v>
      </c>
      <c r="U6" s="545"/>
      <c r="V6" s="141" t="s">
        <v>269</v>
      </c>
      <c r="W6" s="544" t="s">
        <v>161</v>
      </c>
      <c r="X6" s="545"/>
      <c r="Y6" s="141" t="s">
        <v>269</v>
      </c>
      <c r="Z6" s="544" t="s">
        <v>162</v>
      </c>
      <c r="AA6" s="545"/>
      <c r="AB6" s="141" t="s">
        <v>269</v>
      </c>
      <c r="AC6" s="542" t="s">
        <v>153</v>
      </c>
      <c r="AD6" s="543"/>
      <c r="AE6" s="140" t="s">
        <v>269</v>
      </c>
      <c r="AF6" s="55"/>
      <c r="AG6" s="55"/>
    </row>
    <row r="7" spans="2:33" ht="13.5" thickBot="1">
      <c r="B7" s="58"/>
      <c r="C7" s="186"/>
      <c r="D7" s="187" t="s">
        <v>208</v>
      </c>
      <c r="E7" s="55"/>
      <c r="F7" s="55"/>
      <c r="G7" s="187" t="s">
        <v>123</v>
      </c>
      <c r="H7" s="58" t="s">
        <v>142</v>
      </c>
      <c r="I7" s="58" t="s">
        <v>143</v>
      </c>
      <c r="J7" s="55"/>
      <c r="K7" s="55"/>
      <c r="L7" s="58"/>
      <c r="M7" s="58"/>
      <c r="P7" s="139" t="s">
        <v>150</v>
      </c>
      <c r="Q7" s="139" t="s">
        <v>269</v>
      </c>
      <c r="R7" s="139" t="s">
        <v>141</v>
      </c>
      <c r="S7" s="140" t="s">
        <v>154</v>
      </c>
      <c r="T7" s="142" t="s">
        <v>269</v>
      </c>
      <c r="U7" s="143" t="s">
        <v>141</v>
      </c>
      <c r="V7" s="141" t="s">
        <v>154</v>
      </c>
      <c r="W7" s="142" t="s">
        <v>269</v>
      </c>
      <c r="X7" s="143" t="s">
        <v>141</v>
      </c>
      <c r="Y7" s="141" t="s">
        <v>154</v>
      </c>
      <c r="Z7" s="142" t="s">
        <v>269</v>
      </c>
      <c r="AA7" s="143" t="s">
        <v>141</v>
      </c>
      <c r="AB7" s="141" t="s">
        <v>154</v>
      </c>
      <c r="AC7" s="142" t="s">
        <v>269</v>
      </c>
      <c r="AD7" s="143" t="s">
        <v>141</v>
      </c>
      <c r="AE7" s="140" t="s">
        <v>154</v>
      </c>
      <c r="AF7" s="55"/>
      <c r="AG7" s="55"/>
    </row>
    <row r="8" spans="2:33" ht="12.75">
      <c r="B8" s="58" t="s">
        <v>253</v>
      </c>
      <c r="C8" s="58"/>
      <c r="D8" s="188">
        <f>Income!D9*(1-Income!D11)+Income!E9*(1-Income!E11)+Income!F9*(1-Income!F11)+Income!G9*(1-Income!G11)+Income!H9*(1-Income!H11)+Income!I9*(1-Income!I11)+Income!J9*(1-Income!J11)+Income!K9*(1-Income!K11)+Income!L9*(1-Income!L11)</f>
        <v>1250</v>
      </c>
      <c r="E8" s="55"/>
      <c r="F8" s="58"/>
      <c r="G8" s="81" t="s">
        <v>144</v>
      </c>
      <c r="H8" s="67">
        <v>0.07</v>
      </c>
      <c r="I8" s="67">
        <v>0.045</v>
      </c>
      <c r="J8" s="55"/>
      <c r="K8" s="55"/>
      <c r="L8" s="58"/>
      <c r="M8" s="58"/>
      <c r="P8" s="218">
        <v>1</v>
      </c>
      <c r="Q8" s="209">
        <f>-PPMT(AssetLiability!$I$8,P8,AssetLiability!$I$10,AssetLiability!$H$16)</f>
        <v>4917.462872577969</v>
      </c>
      <c r="R8" s="209">
        <f>-IPMT(AssetLiability!$I$8,P8,AssetLiability!$I$10,AssetLiability!$H$16)</f>
        <v>13500</v>
      </c>
      <c r="S8" s="144">
        <f>AssetLiability!$H$16-Q8</f>
        <v>295082.53712742205</v>
      </c>
      <c r="T8" s="210">
        <f>-PPMT(AssetLiability!$H$8,P8,AssetLiability!$H$10,AssetLiability!$H$17)</f>
        <v>3755.479638012678</v>
      </c>
      <c r="U8" s="211">
        <f>-IPMT(AssetLiability!$H$8,P8,AssetLiability!$H$10,AssetLiability!$H$17)</f>
        <v>2275</v>
      </c>
      <c r="V8" s="212">
        <f>AssetLiability!H17-T8</f>
        <v>28744.52036198732</v>
      </c>
      <c r="W8" s="210">
        <f>-PPMT(AssetLiability!$H$8,P8,AssetLiability!$H$10,AssetLiability!$H$18)</f>
        <v>0</v>
      </c>
      <c r="X8" s="211">
        <f>-IPMT(AssetLiability!$H$8,P8,AssetLiability!$H$10,AssetLiability!$H$18)</f>
        <v>0</v>
      </c>
      <c r="Y8" s="212">
        <f>AssetLiability!H18-W8</f>
        <v>0</v>
      </c>
      <c r="Z8" s="210">
        <f>-PPMT(AssetLiability!$H$8,P8,AssetLiability!$H$10,AssetLiability!$H$19)</f>
        <v>0</v>
      </c>
      <c r="AA8" s="211">
        <f>-IPMT(AssetLiability!$H$8,P8,AssetLiability!$H$10,AssetLiability!$H$19)</f>
        <v>0</v>
      </c>
      <c r="AB8" s="212">
        <f>AssetLiability!H19-Z8</f>
        <v>0</v>
      </c>
      <c r="AC8" s="210">
        <f aca="true" t="shared" si="0" ref="AC8:AE14">T8+W8+Z8</f>
        <v>3755.479638012678</v>
      </c>
      <c r="AD8" s="211">
        <f t="shared" si="0"/>
        <v>2275</v>
      </c>
      <c r="AE8" s="212">
        <f t="shared" si="0"/>
        <v>28744.52036198732</v>
      </c>
      <c r="AF8" s="55"/>
      <c r="AG8" s="55"/>
    </row>
    <row r="9" spans="2:33" ht="12.75">
      <c r="B9" s="58" t="s">
        <v>188</v>
      </c>
      <c r="C9" s="58"/>
      <c r="D9" s="49">
        <v>800</v>
      </c>
      <c r="E9" s="55"/>
      <c r="F9" s="189"/>
      <c r="G9" s="81" t="s">
        <v>145</v>
      </c>
      <c r="H9" s="44">
        <v>4</v>
      </c>
      <c r="I9" s="44">
        <v>10</v>
      </c>
      <c r="J9" s="55"/>
      <c r="K9" s="55"/>
      <c r="L9" s="58"/>
      <c r="M9" s="58"/>
      <c r="P9" s="78">
        <f aca="true" t="shared" si="1" ref="P9:P37">P8+1</f>
        <v>2</v>
      </c>
      <c r="Q9" s="204">
        <f>-PPMT(AssetLiability!$I$8,P9,AssetLiability!$I$10,AssetLiability!$H$16)</f>
        <v>5138.748701843977</v>
      </c>
      <c r="R9" s="204">
        <f>-IPMT(AssetLiability!$I$8,P9,AssetLiability!$I$10,AssetLiability!$H$16)</f>
        <v>13278.714170733992</v>
      </c>
      <c r="S9" s="146">
        <f aca="true" t="shared" si="2" ref="S9:S37">S8-Q9</f>
        <v>289943.7884255781</v>
      </c>
      <c r="T9" s="176">
        <f>-PPMT(AssetLiability!$H$8,P9,AssetLiability!$H$10,AssetLiability!$H$17)</f>
        <v>4018.3632126735656</v>
      </c>
      <c r="U9" s="207">
        <f>-IPMT(AssetLiability!$H$8,P9,AssetLiability!$H$10,AssetLiability!$H$17)</f>
        <v>2012.1164253391123</v>
      </c>
      <c r="V9" s="213">
        <f aca="true" t="shared" si="3" ref="V9:V14">V8-T9</f>
        <v>24726.157149313756</v>
      </c>
      <c r="W9" s="176">
        <f>-PPMT(AssetLiability!$H$8,P9,AssetLiability!$H$10,AssetLiability!$H$18)</f>
        <v>0</v>
      </c>
      <c r="X9" s="207">
        <f>-IPMT(AssetLiability!$H$8,P9,AssetLiability!$H$10,AssetLiability!$H$18)</f>
        <v>0</v>
      </c>
      <c r="Y9" s="213">
        <f aca="true" t="shared" si="4" ref="Y9:Y14">Y8-W9</f>
        <v>0</v>
      </c>
      <c r="Z9" s="176">
        <f>-PPMT(AssetLiability!$H$8,P9,AssetLiability!$H$10,AssetLiability!$H$19)</f>
        <v>0</v>
      </c>
      <c r="AA9" s="207">
        <f>-IPMT(AssetLiability!$H$8,P9,AssetLiability!$H$10,AssetLiability!$H$19)</f>
        <v>0</v>
      </c>
      <c r="AB9" s="213">
        <f aca="true" t="shared" si="5" ref="AB9:AB14">AB8-Z9</f>
        <v>0</v>
      </c>
      <c r="AC9" s="176">
        <f t="shared" si="0"/>
        <v>4018.3632126735656</v>
      </c>
      <c r="AD9" s="207">
        <f t="shared" si="0"/>
        <v>2012.1164253391123</v>
      </c>
      <c r="AE9" s="213">
        <f t="shared" si="0"/>
        <v>24726.157149313756</v>
      </c>
      <c r="AF9" s="55"/>
      <c r="AG9" s="55"/>
    </row>
    <row r="10" spans="2:33" ht="12.75">
      <c r="B10" s="58"/>
      <c r="C10" s="59" t="s">
        <v>241</v>
      </c>
      <c r="D10" s="73">
        <f>D8*D9</f>
        <v>1000000</v>
      </c>
      <c r="E10" s="55"/>
      <c r="F10" s="58"/>
      <c r="G10" s="81" t="s">
        <v>146</v>
      </c>
      <c r="H10" s="190">
        <v>7</v>
      </c>
      <c r="I10" s="191">
        <v>30</v>
      </c>
      <c r="J10" s="55"/>
      <c r="K10" s="55"/>
      <c r="L10" s="58"/>
      <c r="M10" s="58"/>
      <c r="P10" s="218">
        <f t="shared" si="1"/>
        <v>3</v>
      </c>
      <c r="Q10" s="209">
        <f>-PPMT(AssetLiability!$I$8,P10,AssetLiability!$I$10,AssetLiability!$H$16)</f>
        <v>5369.9923934269555</v>
      </c>
      <c r="R10" s="209">
        <f>-IPMT(AssetLiability!$I$8,P10,AssetLiability!$I$10,AssetLiability!$H$16)</f>
        <v>13047.470479151014</v>
      </c>
      <c r="S10" s="144">
        <f t="shared" si="2"/>
        <v>284573.79603215115</v>
      </c>
      <c r="T10" s="210">
        <f>-PPMT(AssetLiability!$H$8,P10,AssetLiability!$H$10,AssetLiability!$H$17)</f>
        <v>4299.6486375607155</v>
      </c>
      <c r="U10" s="211">
        <f>-IPMT(AssetLiability!$H$8,P10,AssetLiability!$H$10,AssetLiability!$H$17)</f>
        <v>1730.8310004519628</v>
      </c>
      <c r="V10" s="212">
        <f t="shared" si="3"/>
        <v>20426.50851175304</v>
      </c>
      <c r="W10" s="210">
        <f>-PPMT(AssetLiability!$H$8,P10,AssetLiability!$H$10,AssetLiability!$H$18)</f>
        <v>0</v>
      </c>
      <c r="X10" s="211">
        <f>-IPMT(AssetLiability!$H$8,P10,AssetLiability!$H$10,AssetLiability!$H$18)</f>
        <v>0</v>
      </c>
      <c r="Y10" s="212">
        <f t="shared" si="4"/>
        <v>0</v>
      </c>
      <c r="Z10" s="210">
        <f>-PPMT(AssetLiability!$H$8,P10,AssetLiability!$H$10,AssetLiability!$H$19)</f>
        <v>0</v>
      </c>
      <c r="AA10" s="211">
        <f>-IPMT(AssetLiability!$H$8,P10,AssetLiability!$H$10,AssetLiability!$H$19)</f>
        <v>0</v>
      </c>
      <c r="AB10" s="212">
        <f t="shared" si="5"/>
        <v>0</v>
      </c>
      <c r="AC10" s="210">
        <f t="shared" si="0"/>
        <v>4299.6486375607155</v>
      </c>
      <c r="AD10" s="211">
        <f t="shared" si="0"/>
        <v>1730.8310004519628</v>
      </c>
      <c r="AE10" s="212">
        <f t="shared" si="0"/>
        <v>20426.50851175304</v>
      </c>
      <c r="AF10" s="55"/>
      <c r="AG10" s="147"/>
    </row>
    <row r="11" spans="2:33" ht="12.75">
      <c r="B11" s="58"/>
      <c r="C11" s="58"/>
      <c r="D11" s="78"/>
      <c r="E11" s="87" t="s">
        <v>220</v>
      </c>
      <c r="F11" s="55"/>
      <c r="G11" s="58"/>
      <c r="H11" s="58"/>
      <c r="I11" s="192"/>
      <c r="J11" s="192"/>
      <c r="K11" s="58"/>
      <c r="L11" s="58"/>
      <c r="M11" s="58"/>
      <c r="P11" s="78">
        <f t="shared" si="1"/>
        <v>4</v>
      </c>
      <c r="Q11" s="204">
        <f>-PPMT(AssetLiability!$I$8,P11,AssetLiability!$I$10,AssetLiability!$H$16)</f>
        <v>5611.642051131168</v>
      </c>
      <c r="R11" s="204">
        <f>-IPMT(AssetLiability!$I$8,P11,AssetLiability!$I$10,AssetLiability!$H$16)</f>
        <v>12805.820821446801</v>
      </c>
      <c r="S11" s="146">
        <f t="shared" si="2"/>
        <v>278962.15398102</v>
      </c>
      <c r="T11" s="176">
        <f>-PPMT(AssetLiability!$H$8,P11,AssetLiability!$H$10,AssetLiability!$H$17)</f>
        <v>4600.624042189966</v>
      </c>
      <c r="U11" s="207">
        <f>-IPMT(AssetLiability!$H$8,P11,AssetLiability!$H$10,AssetLiability!$H$17)</f>
        <v>1429.855595822713</v>
      </c>
      <c r="V11" s="213">
        <f t="shared" si="3"/>
        <v>15825.884469563074</v>
      </c>
      <c r="W11" s="176">
        <f>-PPMT(AssetLiability!$H$8,P11,AssetLiability!$H$10,AssetLiability!$H$18)</f>
        <v>0</v>
      </c>
      <c r="X11" s="207">
        <f>-IPMT(AssetLiability!$H$8,P11,AssetLiability!$H$10,AssetLiability!$H$18)</f>
        <v>0</v>
      </c>
      <c r="Y11" s="213">
        <f t="shared" si="4"/>
        <v>0</v>
      </c>
      <c r="Z11" s="176">
        <f>-PPMT(AssetLiability!$H$8,P11,AssetLiability!$H$10,AssetLiability!$H$19)</f>
        <v>0</v>
      </c>
      <c r="AA11" s="207">
        <f>-IPMT(AssetLiability!$H$8,P11,AssetLiability!$H$10,AssetLiability!$H$19)</f>
        <v>0</v>
      </c>
      <c r="AB11" s="213">
        <f t="shared" si="5"/>
        <v>0</v>
      </c>
      <c r="AC11" s="176">
        <f t="shared" si="0"/>
        <v>4600.624042189966</v>
      </c>
      <c r="AD11" s="207">
        <f t="shared" si="0"/>
        <v>1429.855595822713</v>
      </c>
      <c r="AE11" s="213">
        <f t="shared" si="0"/>
        <v>15825.884469563074</v>
      </c>
      <c r="AF11" s="55"/>
      <c r="AG11" s="55"/>
    </row>
    <row r="12" spans="2:33" ht="12.75">
      <c r="B12" s="552" t="s">
        <v>254</v>
      </c>
      <c r="C12" s="553"/>
      <c r="D12" s="70">
        <v>0</v>
      </c>
      <c r="E12" s="88" t="s">
        <v>218</v>
      </c>
      <c r="F12" s="75" t="s">
        <v>59</v>
      </c>
      <c r="G12" s="58"/>
      <c r="H12" s="547" t="s">
        <v>245</v>
      </c>
      <c r="I12" s="548"/>
      <c r="J12" s="548"/>
      <c r="K12" s="548"/>
      <c r="L12" s="549"/>
      <c r="M12" s="78"/>
      <c r="P12" s="218">
        <f t="shared" si="1"/>
        <v>5</v>
      </c>
      <c r="Q12" s="209">
        <f>-PPMT(AssetLiability!$I$8,P12,AssetLiability!$I$10,AssetLiability!$H$16)</f>
        <v>5864.165943432072</v>
      </c>
      <c r="R12" s="209">
        <f>-IPMT(AssetLiability!$I$8,P12,AssetLiability!$I$10,AssetLiability!$H$16)</f>
        <v>12553.296929145898</v>
      </c>
      <c r="S12" s="144">
        <f t="shared" si="2"/>
        <v>273097.9880375879</v>
      </c>
      <c r="T12" s="210">
        <f>-PPMT(AssetLiability!$H$8,P12,AssetLiability!$H$10,AssetLiability!$H$17)</f>
        <v>4922.667725143262</v>
      </c>
      <c r="U12" s="211">
        <f>-IPMT(AssetLiability!$H$8,P12,AssetLiability!$H$10,AssetLiability!$H$17)</f>
        <v>1107.811912869416</v>
      </c>
      <c r="V12" s="212">
        <f t="shared" si="3"/>
        <v>10903.216744419813</v>
      </c>
      <c r="W12" s="210">
        <f>-PPMT(AssetLiability!$H$8,P12,AssetLiability!$H$10,AssetLiability!$H$18)</f>
        <v>0</v>
      </c>
      <c r="X12" s="211">
        <f>-IPMT(AssetLiability!$H$8,P12,AssetLiability!$H$10,AssetLiability!$H$18)</f>
        <v>0</v>
      </c>
      <c r="Y12" s="212">
        <f t="shared" si="4"/>
        <v>0</v>
      </c>
      <c r="Z12" s="210">
        <f>-PPMT(AssetLiability!$H$8,P12,AssetLiability!$H$10,AssetLiability!$H$19)</f>
        <v>0</v>
      </c>
      <c r="AA12" s="211">
        <f>-IPMT(AssetLiability!$H$8,P12,AssetLiability!$H$10,AssetLiability!$H$19)</f>
        <v>0</v>
      </c>
      <c r="AB12" s="212">
        <f t="shared" si="5"/>
        <v>0</v>
      </c>
      <c r="AC12" s="210">
        <f t="shared" si="0"/>
        <v>4922.667725143262</v>
      </c>
      <c r="AD12" s="211">
        <f t="shared" si="0"/>
        <v>1107.811912869416</v>
      </c>
      <c r="AE12" s="212">
        <f t="shared" si="0"/>
        <v>10903.216744419813</v>
      </c>
      <c r="AF12" s="55"/>
      <c r="AG12" s="55"/>
    </row>
    <row r="13" spans="2:33" ht="12.75">
      <c r="B13" s="552" t="s">
        <v>188</v>
      </c>
      <c r="C13" s="553"/>
      <c r="D13" s="69">
        <v>0</v>
      </c>
      <c r="E13" s="88" t="s">
        <v>219</v>
      </c>
      <c r="F13" s="76" t="s">
        <v>213</v>
      </c>
      <c r="G13" s="58"/>
      <c r="H13" s="58"/>
      <c r="I13" s="78" t="s">
        <v>58</v>
      </c>
      <c r="J13" s="78" t="s">
        <v>58</v>
      </c>
      <c r="K13" s="78" t="s">
        <v>59</v>
      </c>
      <c r="L13" s="78" t="s">
        <v>59</v>
      </c>
      <c r="M13" s="78"/>
      <c r="P13" s="78">
        <f t="shared" si="1"/>
        <v>6</v>
      </c>
      <c r="Q13" s="204">
        <f>-PPMT(AssetLiability!$I$8,P13,AssetLiability!$I$10,AssetLiability!$H$16)</f>
        <v>6128.053410886512</v>
      </c>
      <c r="R13" s="204">
        <f>-IPMT(AssetLiability!$I$8,P13,AssetLiability!$I$10,AssetLiability!$H$16)</f>
        <v>12289.409461691457</v>
      </c>
      <c r="S13" s="146">
        <f t="shared" si="2"/>
        <v>266969.9346267014</v>
      </c>
      <c r="T13" s="176">
        <f>-PPMT(AssetLiability!$H$8,P13,AssetLiability!$H$10,AssetLiability!$H$17)</f>
        <v>5267.254465903292</v>
      </c>
      <c r="U13" s="207">
        <f>-IPMT(AssetLiability!$H$8,P13,AssetLiability!$H$10,AssetLiability!$H$17)</f>
        <v>763.2251721093864</v>
      </c>
      <c r="V13" s="213">
        <f t="shared" si="3"/>
        <v>5635.962278516521</v>
      </c>
      <c r="W13" s="176">
        <f>-PPMT(AssetLiability!$H$8,P13,AssetLiability!$H$10,AssetLiability!$H$18)</f>
        <v>0</v>
      </c>
      <c r="X13" s="207">
        <f>-IPMT(AssetLiability!$H$8,P13,AssetLiability!$H$10,AssetLiability!$H$18)</f>
        <v>0</v>
      </c>
      <c r="Y13" s="213">
        <f t="shared" si="4"/>
        <v>0</v>
      </c>
      <c r="Z13" s="176">
        <f>-PPMT(AssetLiability!$H$8,P13,AssetLiability!$H$10,AssetLiability!$H$19)</f>
        <v>0</v>
      </c>
      <c r="AA13" s="207">
        <f>-IPMT(AssetLiability!$H$8,P13,AssetLiability!$H$10,AssetLiability!$H$19)</f>
        <v>0</v>
      </c>
      <c r="AB13" s="213">
        <f t="shared" si="5"/>
        <v>0</v>
      </c>
      <c r="AC13" s="176">
        <f t="shared" si="0"/>
        <v>5267.254465903292</v>
      </c>
      <c r="AD13" s="207">
        <f t="shared" si="0"/>
        <v>763.2251721093864</v>
      </c>
      <c r="AE13" s="213">
        <f t="shared" si="0"/>
        <v>5635.962278516521</v>
      </c>
      <c r="AF13" s="55"/>
      <c r="AG13" s="147"/>
    </row>
    <row r="14" spans="2:33" ht="12.75">
      <c r="B14" s="58"/>
      <c r="C14" s="59" t="s">
        <v>242</v>
      </c>
      <c r="D14" s="73">
        <f>D12*D13</f>
        <v>0</v>
      </c>
      <c r="E14" s="88" t="s">
        <v>216</v>
      </c>
      <c r="F14" s="77" t="s">
        <v>209</v>
      </c>
      <c r="G14" s="78" t="s">
        <v>138</v>
      </c>
      <c r="H14" s="78" t="s">
        <v>147</v>
      </c>
      <c r="I14" s="78" t="s">
        <v>139</v>
      </c>
      <c r="J14" s="78" t="s">
        <v>140</v>
      </c>
      <c r="K14" s="78" t="s">
        <v>139</v>
      </c>
      <c r="L14" s="78" t="s">
        <v>140</v>
      </c>
      <c r="M14" s="78"/>
      <c r="P14" s="218">
        <f t="shared" si="1"/>
        <v>7</v>
      </c>
      <c r="Q14" s="209">
        <f>-PPMT(AssetLiability!$I$8,P14,AssetLiability!$I$10,AssetLiability!$H$16)</f>
        <v>6403.815814376407</v>
      </c>
      <c r="R14" s="209">
        <f>-IPMT(AssetLiability!$I$8,P14,AssetLiability!$I$10,AssetLiability!$H$16)</f>
        <v>12013.647058201563</v>
      </c>
      <c r="S14" s="144">
        <f t="shared" si="2"/>
        <v>260566.118812325</v>
      </c>
      <c r="T14" s="214">
        <f>-PPMT(AssetLiability!$H$8,P14,AssetLiability!$H$10,AssetLiability!$H$17)</f>
        <v>5635.962278516521</v>
      </c>
      <c r="U14" s="215">
        <f>-IPMT(AssetLiability!$H$8,P14,AssetLiability!$H$10,AssetLiability!$H$17)</f>
        <v>394.51735949615687</v>
      </c>
      <c r="V14" s="216">
        <f t="shared" si="3"/>
        <v>0</v>
      </c>
      <c r="W14" s="214">
        <f>-PPMT(AssetLiability!$H$8,P14,AssetLiability!$H$10,AssetLiability!$H$18)</f>
        <v>0</v>
      </c>
      <c r="X14" s="215">
        <f>-IPMT(AssetLiability!$H$8,P14,AssetLiability!$H$10,AssetLiability!$H$18)</f>
        <v>0</v>
      </c>
      <c r="Y14" s="216">
        <f t="shared" si="4"/>
        <v>0</v>
      </c>
      <c r="Z14" s="214">
        <f>-PPMT(AssetLiability!$H$8,P14,AssetLiability!$H$10,AssetLiability!$H$19)</f>
        <v>0</v>
      </c>
      <c r="AA14" s="215">
        <f>-IPMT(AssetLiability!$H$8,P14,AssetLiability!$H$10,AssetLiability!$H$19)</f>
        <v>0</v>
      </c>
      <c r="AB14" s="216">
        <f t="shared" si="5"/>
        <v>0</v>
      </c>
      <c r="AC14" s="214">
        <f t="shared" si="0"/>
        <v>5635.962278516521</v>
      </c>
      <c r="AD14" s="215">
        <f t="shared" si="0"/>
        <v>394.51735949615687</v>
      </c>
      <c r="AE14" s="216">
        <f t="shared" si="0"/>
        <v>0</v>
      </c>
      <c r="AF14" s="55"/>
      <c r="AG14" s="55"/>
    </row>
    <row r="15" spans="2:33" ht="13.5" thickBot="1">
      <c r="B15" s="58"/>
      <c r="C15" s="58"/>
      <c r="D15" s="81"/>
      <c r="E15" s="89" t="s">
        <v>217</v>
      </c>
      <c r="F15" s="79" t="s">
        <v>210</v>
      </c>
      <c r="G15" s="80" t="s">
        <v>152</v>
      </c>
      <c r="H15" s="163" t="s">
        <v>148</v>
      </c>
      <c r="I15" s="163" t="s">
        <v>269</v>
      </c>
      <c r="J15" s="163" t="s">
        <v>141</v>
      </c>
      <c r="K15" s="163" t="s">
        <v>269</v>
      </c>
      <c r="L15" s="163" t="s">
        <v>141</v>
      </c>
      <c r="M15" s="78"/>
      <c r="P15" s="78">
        <f t="shared" si="1"/>
        <v>8</v>
      </c>
      <c r="Q15" s="204">
        <f>-PPMT(AssetLiability!$I$8,P15,AssetLiability!$I$10,AssetLiability!$H$16)</f>
        <v>6691.987526023344</v>
      </c>
      <c r="R15" s="204">
        <f>-IPMT(AssetLiability!$I$8,P15,AssetLiability!$I$10,AssetLiability!$H$16)</f>
        <v>11725.475346554626</v>
      </c>
      <c r="S15" s="146">
        <f t="shared" si="2"/>
        <v>253874.13128630165</v>
      </c>
      <c r="T15" s="204"/>
      <c r="U15" s="204"/>
      <c r="V15" s="204"/>
      <c r="W15" s="204"/>
      <c r="X15" s="204"/>
      <c r="Y15" s="204"/>
      <c r="Z15" s="204"/>
      <c r="AA15" s="204"/>
      <c r="AB15" s="204"/>
      <c r="AC15" s="146"/>
      <c r="AD15" s="146"/>
      <c r="AE15" s="146"/>
      <c r="AF15" s="55"/>
      <c r="AG15" s="55"/>
    </row>
    <row r="16" spans="2:33" ht="12.75">
      <c r="B16" s="552" t="s">
        <v>243</v>
      </c>
      <c r="C16" s="552"/>
      <c r="D16" s="73">
        <f>D10+D14</f>
        <v>1000000</v>
      </c>
      <c r="E16" s="49">
        <v>0</v>
      </c>
      <c r="F16" s="49">
        <v>0</v>
      </c>
      <c r="G16" s="46">
        <v>0.3</v>
      </c>
      <c r="H16" s="159">
        <f>D16*G16</f>
        <v>300000</v>
      </c>
      <c r="I16" s="204">
        <f>PPMT($I$8,$I$9,$I$10,$H$16)</f>
        <v>-7307.817678105641</v>
      </c>
      <c r="J16" s="204">
        <f>IPMT($I$8,$I$9,$I$10,$H$16)</f>
        <v>-11109.645194472329</v>
      </c>
      <c r="K16" s="204">
        <f>PPMT($I$8,$I$9+1,$I$10,$H$16)</f>
        <v>-7636.669473620392</v>
      </c>
      <c r="L16" s="204">
        <f>IPMT($I$8,$I$9+1,$I$10,$H$16)</f>
        <v>-10780.793398957578</v>
      </c>
      <c r="M16" s="58"/>
      <c r="P16" s="78">
        <f t="shared" si="1"/>
        <v>9</v>
      </c>
      <c r="Q16" s="204">
        <f>-PPMT(AssetLiability!$I$8,P16,AssetLiability!$I$10,AssetLiability!$H$16)</f>
        <v>6993.126964694391</v>
      </c>
      <c r="R16" s="204">
        <f>-IPMT(AssetLiability!$I$8,P16,AssetLiability!$I$10,AssetLiability!$H$16)</f>
        <v>11424.335907883578</v>
      </c>
      <c r="S16" s="146">
        <f t="shared" si="2"/>
        <v>246881.00432160727</v>
      </c>
      <c r="T16" s="204"/>
      <c r="U16" s="204"/>
      <c r="V16" s="204"/>
      <c r="W16" s="204"/>
      <c r="X16" s="204"/>
      <c r="Y16" s="204"/>
      <c r="Z16" s="204"/>
      <c r="AA16" s="204"/>
      <c r="AB16" s="204"/>
      <c r="AC16" s="146"/>
      <c r="AD16" s="146"/>
      <c r="AE16" s="146"/>
      <c r="AF16" s="55"/>
      <c r="AG16" s="55"/>
    </row>
    <row r="17" spans="2:33" ht="12.75">
      <c r="B17" s="552" t="s">
        <v>135</v>
      </c>
      <c r="C17" s="553"/>
      <c r="D17" s="69">
        <v>325000</v>
      </c>
      <c r="E17" s="49">
        <v>32500</v>
      </c>
      <c r="F17" s="49">
        <v>0</v>
      </c>
      <c r="G17" s="52">
        <v>0.1</v>
      </c>
      <c r="H17" s="159">
        <f>D17*G17</f>
        <v>32500</v>
      </c>
      <c r="I17" s="204">
        <f>PPMT($H$8,$H$9,$H$10,$H$17)</f>
        <v>-4600.624042189966</v>
      </c>
      <c r="J17" s="204">
        <f>IPMT($H$8,$H$9,$H$10,$H$17)</f>
        <v>-1429.855595822713</v>
      </c>
      <c r="K17" s="204">
        <f>PPMT($H$8,$H$9+1,$H$10,$H$17)</f>
        <v>-4922.667725143262</v>
      </c>
      <c r="L17" s="204">
        <f>IPMT($H$8,$H$9+1,$H$10,$H$17)</f>
        <v>-1107.811912869416</v>
      </c>
      <c r="M17" s="58"/>
      <c r="P17" s="188">
        <f t="shared" si="1"/>
        <v>10</v>
      </c>
      <c r="Q17" s="217">
        <f>-PPMT(AssetLiability!$I$8,P17,AssetLiability!$I$10,AssetLiability!$H$16)</f>
        <v>7307.817678105641</v>
      </c>
      <c r="R17" s="217">
        <f>-IPMT(AssetLiability!$I$8,P17,AssetLiability!$I$10,AssetLiability!$H$16)</f>
        <v>11109.645194472329</v>
      </c>
      <c r="S17" s="160">
        <f t="shared" si="2"/>
        <v>239573.18664350163</v>
      </c>
      <c r="T17" s="204"/>
      <c r="U17" s="204"/>
      <c r="V17" s="204"/>
      <c r="W17" s="204"/>
      <c r="X17" s="204"/>
      <c r="Y17" s="204"/>
      <c r="Z17" s="204"/>
      <c r="AA17" s="204"/>
      <c r="AB17" s="204"/>
      <c r="AC17" s="146"/>
      <c r="AD17" s="146"/>
      <c r="AE17" s="146"/>
      <c r="AF17" s="55"/>
      <c r="AG17" s="55"/>
    </row>
    <row r="18" spans="2:33" ht="12.75">
      <c r="B18" s="552" t="s">
        <v>136</v>
      </c>
      <c r="C18" s="553"/>
      <c r="D18" s="69">
        <v>40000</v>
      </c>
      <c r="E18" s="49">
        <v>2000</v>
      </c>
      <c r="F18" s="68">
        <v>0</v>
      </c>
      <c r="G18" s="52">
        <v>0</v>
      </c>
      <c r="H18" s="159">
        <f>D18*G18</f>
        <v>0</v>
      </c>
      <c r="I18" s="204">
        <f>PPMT($H$8,$H$9,$H$10,$H$18)</f>
        <v>0</v>
      </c>
      <c r="J18" s="204">
        <f>IPMT($H$8,$H$9,$H$10,$H$18)</f>
        <v>0</v>
      </c>
      <c r="K18" s="204">
        <f>PPMT($H$8,$H$9+1,$H$10,$H$18)</f>
        <v>0</v>
      </c>
      <c r="L18" s="204">
        <f>IPMT($H$8,$H$9+1,$H$10,$H$18)</f>
        <v>0</v>
      </c>
      <c r="M18" s="58"/>
      <c r="P18" s="78">
        <f t="shared" si="1"/>
        <v>11</v>
      </c>
      <c r="Q18" s="204">
        <f>-PPMT(AssetLiability!$I$8,P18,AssetLiability!$I$10,AssetLiability!$H$16)</f>
        <v>7636.669473620392</v>
      </c>
      <c r="R18" s="204">
        <f>-IPMT(AssetLiability!$I$8,P18,AssetLiability!$I$10,AssetLiability!$H$16)</f>
        <v>10780.793398957578</v>
      </c>
      <c r="S18" s="146">
        <f t="shared" si="2"/>
        <v>231936.51716988123</v>
      </c>
      <c r="T18" s="204"/>
      <c r="U18" s="204"/>
      <c r="V18" s="204"/>
      <c r="W18" s="204"/>
      <c r="X18" s="204"/>
      <c r="Y18" s="204"/>
      <c r="Z18" s="204"/>
      <c r="AA18" s="204"/>
      <c r="AB18" s="204"/>
      <c r="AC18" s="146"/>
      <c r="AD18" s="146"/>
      <c r="AE18" s="146"/>
      <c r="AF18" s="55"/>
      <c r="AG18" s="55"/>
    </row>
    <row r="19" spans="2:33" ht="12.75">
      <c r="B19" s="552" t="s">
        <v>19</v>
      </c>
      <c r="C19" s="552"/>
      <c r="D19" s="72">
        <f>(Income!D30*Income!D32+Income!D30/25*Income!D28*0.5+Income!D30*Income!D22*Income!D32)+(Income!E30*Income!E32+Income!E30/25*Income!E28*0.5+Income!E30*Income!E22*Income!E32)+(Income!F30*Income!F32+Income!F30/25*Income!F28*0.5+Income!F30*Income!F22*Income!F32)</f>
        <v>0</v>
      </c>
      <c r="E19" s="49">
        <v>0</v>
      </c>
      <c r="F19" s="49">
        <v>0</v>
      </c>
      <c r="G19" s="52">
        <v>0</v>
      </c>
      <c r="H19" s="193">
        <f>D19*G19</f>
        <v>0</v>
      </c>
      <c r="I19" s="205">
        <f>PPMT($H$8,$H$9,$H$10,$H$19)</f>
        <v>0</v>
      </c>
      <c r="J19" s="205">
        <f>IPMT($H$8,$H$9,$H$10,$H$19)</f>
        <v>0</v>
      </c>
      <c r="K19" s="205">
        <f>PPMT($H$8,$H$9+1,$H$10,$H$19)</f>
        <v>0</v>
      </c>
      <c r="L19" s="205">
        <f>IPMT($H$8,$H$9+1,$H$10,$H$19)</f>
        <v>0</v>
      </c>
      <c r="M19" s="58"/>
      <c r="P19" s="78">
        <f t="shared" si="1"/>
        <v>12</v>
      </c>
      <c r="Q19" s="204">
        <f>-PPMT(AssetLiability!$I$8,P19,AssetLiability!$I$10,AssetLiability!$H$16)</f>
        <v>7980.319599933309</v>
      </c>
      <c r="R19" s="204">
        <f>-IPMT(AssetLiability!$I$8,P19,AssetLiability!$I$10,AssetLiability!$H$16)</f>
        <v>10437.14327264466</v>
      </c>
      <c r="S19" s="146">
        <f t="shared" si="2"/>
        <v>223956.19756994792</v>
      </c>
      <c r="T19" s="204"/>
      <c r="U19" s="204"/>
      <c r="V19" s="204"/>
      <c r="W19" s="204"/>
      <c r="X19" s="204"/>
      <c r="Y19" s="204"/>
      <c r="Z19" s="204"/>
      <c r="AA19" s="204"/>
      <c r="AB19" s="204"/>
      <c r="AC19" s="146"/>
      <c r="AD19" s="146"/>
      <c r="AE19" s="146"/>
      <c r="AF19" s="55"/>
      <c r="AG19" s="55"/>
    </row>
    <row r="20" spans="2:33" ht="12.75">
      <c r="B20" s="55"/>
      <c r="C20" s="55"/>
      <c r="D20" s="59" t="s">
        <v>221</v>
      </c>
      <c r="E20" s="74">
        <f>SUM(E16:E19)</f>
        <v>34500</v>
      </c>
      <c r="F20" s="73">
        <f>SUM(F16:F19)</f>
        <v>0</v>
      </c>
      <c r="G20" s="59" t="s">
        <v>137</v>
      </c>
      <c r="H20" s="159">
        <f>SUM(H16:H19)</f>
        <v>332500</v>
      </c>
      <c r="I20" s="204">
        <f>-SUM(I16:I19)</f>
        <v>11908.441720295607</v>
      </c>
      <c r="J20" s="204">
        <f>-SUM(J16:J19)</f>
        <v>12539.500790295042</v>
      </c>
      <c r="K20" s="204">
        <f>-SUM(K16:K19)</f>
        <v>12559.337198763653</v>
      </c>
      <c r="L20" s="204">
        <f>-SUM(L16:L19)</f>
        <v>11888.605311826994</v>
      </c>
      <c r="M20" s="58"/>
      <c r="P20" s="78">
        <f t="shared" si="1"/>
        <v>13</v>
      </c>
      <c r="Q20" s="204">
        <f>-PPMT(AssetLiability!$I$8,P20,AssetLiability!$I$10,AssetLiability!$H$16)</f>
        <v>8339.433981930306</v>
      </c>
      <c r="R20" s="204">
        <f>-IPMT(AssetLiability!$I$8,P20,AssetLiability!$I$10,AssetLiability!$H$16)</f>
        <v>10078.028890647664</v>
      </c>
      <c r="S20" s="146">
        <f t="shared" si="2"/>
        <v>215616.7635880176</v>
      </c>
      <c r="T20" s="204"/>
      <c r="U20" s="204"/>
      <c r="V20" s="204"/>
      <c r="W20" s="204"/>
      <c r="X20" s="204"/>
      <c r="Y20" s="204"/>
      <c r="Z20" s="204"/>
      <c r="AA20" s="204"/>
      <c r="AB20" s="204"/>
      <c r="AC20" s="146"/>
      <c r="AD20" s="146"/>
      <c r="AE20" s="146"/>
      <c r="AF20" s="55"/>
      <c r="AG20" s="55"/>
    </row>
    <row r="21" spans="2:33" ht="12.75">
      <c r="B21" s="58"/>
      <c r="C21" s="59" t="s">
        <v>244</v>
      </c>
      <c r="D21" s="73">
        <f>SUM(D16:D19)</f>
        <v>1365000</v>
      </c>
      <c r="E21" s="55"/>
      <c r="F21" s="58"/>
      <c r="G21" s="55"/>
      <c r="H21" s="194"/>
      <c r="I21" s="204"/>
      <c r="J21" s="204"/>
      <c r="K21" s="146"/>
      <c r="L21" s="204"/>
      <c r="M21" s="58"/>
      <c r="P21" s="78">
        <f t="shared" si="1"/>
        <v>14</v>
      </c>
      <c r="Q21" s="204">
        <f>-PPMT(AssetLiability!$I$8,P21,AssetLiability!$I$10,AssetLiability!$H$16)</f>
        <v>8714.708511117175</v>
      </c>
      <c r="R21" s="204">
        <f>-IPMT(AssetLiability!$I$8,P21,AssetLiability!$I$10,AssetLiability!$H$16)</f>
        <v>9702.754361460795</v>
      </c>
      <c r="S21" s="146">
        <f t="shared" si="2"/>
        <v>206902.05507690043</v>
      </c>
      <c r="T21" s="204"/>
      <c r="U21" s="204"/>
      <c r="V21" s="204"/>
      <c r="W21" s="204"/>
      <c r="X21" s="204"/>
      <c r="Y21" s="204"/>
      <c r="Z21" s="204"/>
      <c r="AA21" s="204"/>
      <c r="AB21" s="204"/>
      <c r="AC21" s="146"/>
      <c r="AD21" s="146"/>
      <c r="AE21" s="146"/>
      <c r="AF21" s="55"/>
      <c r="AG21" s="55"/>
    </row>
    <row r="22" spans="2:33" ht="12.75">
      <c r="B22" s="58"/>
      <c r="C22" s="58"/>
      <c r="D22" s="58"/>
      <c r="E22" s="55"/>
      <c r="F22" s="58"/>
      <c r="G22" s="59" t="s">
        <v>214</v>
      </c>
      <c r="H22" s="194">
        <f>Ratio_Calc!$H$15</f>
        <v>0.18241578450131593</v>
      </c>
      <c r="I22" s="206" t="s">
        <v>215</v>
      </c>
      <c r="J22" s="204">
        <f>I20+J20</f>
        <v>24447.94251059065</v>
      </c>
      <c r="K22" s="206" t="s">
        <v>215</v>
      </c>
      <c r="L22" s="204">
        <f>K20+L20</f>
        <v>24447.94251059065</v>
      </c>
      <c r="M22" s="58"/>
      <c r="P22" s="78">
        <f t="shared" si="1"/>
        <v>15</v>
      </c>
      <c r="Q22" s="204">
        <f>-PPMT(AssetLiability!$I$8,P22,AssetLiability!$I$10,AssetLiability!$H$16)</f>
        <v>9106.87039411744</v>
      </c>
      <c r="R22" s="204">
        <f>-IPMT(AssetLiability!$I$8,P22,AssetLiability!$I$10,AssetLiability!$H$16)</f>
        <v>9310.592478460529</v>
      </c>
      <c r="S22" s="146">
        <f t="shared" si="2"/>
        <v>197795.184682783</v>
      </c>
      <c r="T22" s="204"/>
      <c r="U22" s="204"/>
      <c r="V22" s="204"/>
      <c r="W22" s="204"/>
      <c r="X22" s="204"/>
      <c r="Y22" s="204"/>
      <c r="Z22" s="204"/>
      <c r="AA22" s="204"/>
      <c r="AB22" s="204"/>
      <c r="AC22" s="146"/>
      <c r="AD22" s="146"/>
      <c r="AE22" s="146"/>
      <c r="AF22" s="55"/>
      <c r="AG22" s="55"/>
    </row>
    <row r="23" spans="2:33" ht="12.75">
      <c r="B23" s="58"/>
      <c r="C23" s="58"/>
      <c r="D23" s="58"/>
      <c r="E23" s="55"/>
      <c r="F23" s="58"/>
      <c r="G23" s="59"/>
      <c r="H23" s="194"/>
      <c r="I23" s="81"/>
      <c r="J23" s="145"/>
      <c r="K23" s="81"/>
      <c r="L23" s="145"/>
      <c r="M23" s="58"/>
      <c r="P23" s="78">
        <f t="shared" si="1"/>
        <v>16</v>
      </c>
      <c r="Q23" s="204">
        <f>-PPMT(AssetLiability!$I$8,P23,AssetLiability!$I$10,AssetLiability!$H$16)</f>
        <v>9516.679561852729</v>
      </c>
      <c r="R23" s="204">
        <f>-IPMT(AssetLiability!$I$8,P23,AssetLiability!$I$10,AssetLiability!$H$16)</f>
        <v>8900.78331072524</v>
      </c>
      <c r="S23" s="146">
        <f t="shared" si="2"/>
        <v>188278.50512093026</v>
      </c>
      <c r="T23" s="204"/>
      <c r="U23" s="204"/>
      <c r="V23" s="204"/>
      <c r="W23" s="204"/>
      <c r="X23" s="204"/>
      <c r="Y23" s="204"/>
      <c r="Z23" s="204"/>
      <c r="AA23" s="204"/>
      <c r="AB23" s="204"/>
      <c r="AC23" s="146"/>
      <c r="AD23" s="146"/>
      <c r="AE23" s="146"/>
      <c r="AF23" s="55"/>
      <c r="AG23" s="55"/>
    </row>
    <row r="24" spans="2:33" ht="12.75">
      <c r="B24" s="57" t="s">
        <v>357</v>
      </c>
      <c r="C24" s="58"/>
      <c r="D24" s="58"/>
      <c r="E24" s="55"/>
      <c r="F24" s="58"/>
      <c r="G24" s="59"/>
      <c r="H24" s="194"/>
      <c r="I24" s="81"/>
      <c r="J24" s="145"/>
      <c r="K24" s="81"/>
      <c r="L24" s="145"/>
      <c r="M24" s="58"/>
      <c r="P24" s="78">
        <f t="shared" si="1"/>
        <v>17</v>
      </c>
      <c r="Q24" s="204">
        <f>-PPMT(AssetLiability!$I$8,P24,AssetLiability!$I$10,AssetLiability!$H$16)</f>
        <v>9944.930142136098</v>
      </c>
      <c r="R24" s="204">
        <f>-IPMT(AssetLiability!$I$8,P24,AssetLiability!$I$10,AssetLiability!$H$16)</f>
        <v>8472.532730441872</v>
      </c>
      <c r="S24" s="146">
        <f t="shared" si="2"/>
        <v>178333.57497879417</v>
      </c>
      <c r="T24" s="204"/>
      <c r="U24" s="204"/>
      <c r="V24" s="204"/>
      <c r="W24" s="204"/>
      <c r="X24" s="204"/>
      <c r="Y24" s="204"/>
      <c r="Z24" s="204"/>
      <c r="AA24" s="204"/>
      <c r="AB24" s="204"/>
      <c r="AC24" s="146"/>
      <c r="AD24" s="146"/>
      <c r="AE24" s="146"/>
      <c r="AF24" s="55"/>
      <c r="AG24" s="55"/>
    </row>
    <row r="25" spans="2:33" ht="12.75">
      <c r="B25" s="58"/>
      <c r="C25" s="58"/>
      <c r="D25" s="87" t="s">
        <v>224</v>
      </c>
      <c r="E25" s="87" t="s">
        <v>9</v>
      </c>
      <c r="F25" s="87" t="s">
        <v>326</v>
      </c>
      <c r="G25" s="87" t="s">
        <v>225</v>
      </c>
      <c r="H25" s="194"/>
      <c r="I25" s="81"/>
      <c r="J25" s="145"/>
      <c r="K25" s="81"/>
      <c r="L25" s="145"/>
      <c r="M25" s="58"/>
      <c r="P25" s="78">
        <f t="shared" si="1"/>
        <v>18</v>
      </c>
      <c r="Q25" s="204">
        <f>-PPMT(AssetLiability!$I$8,P25,AssetLiability!$I$10,AssetLiability!$H$16)</f>
        <v>10392.451998532222</v>
      </c>
      <c r="R25" s="204">
        <f>-IPMT(AssetLiability!$I$8,P25,AssetLiability!$I$10,AssetLiability!$H$16)</f>
        <v>8025.010874045747</v>
      </c>
      <c r="S25" s="146">
        <f t="shared" si="2"/>
        <v>167941.12298026195</v>
      </c>
      <c r="T25" s="204"/>
      <c r="U25" s="204"/>
      <c r="V25" s="204"/>
      <c r="W25" s="204"/>
      <c r="X25" s="204"/>
      <c r="Y25" s="204"/>
      <c r="Z25" s="204"/>
      <c r="AA25" s="204"/>
      <c r="AB25" s="204"/>
      <c r="AC25" s="146"/>
      <c r="AD25" s="146"/>
      <c r="AE25" s="146"/>
      <c r="AF25" s="55"/>
      <c r="AG25" s="55"/>
    </row>
    <row r="26" spans="2:33" ht="12.75">
      <c r="B26" s="559" t="s">
        <v>223</v>
      </c>
      <c r="C26" s="559"/>
      <c r="D26" s="88" t="s">
        <v>324</v>
      </c>
      <c r="E26" s="88" t="s">
        <v>285</v>
      </c>
      <c r="F26" s="88" t="s">
        <v>327</v>
      </c>
      <c r="G26" s="114" t="s">
        <v>330</v>
      </c>
      <c r="H26" s="195" t="s">
        <v>280</v>
      </c>
      <c r="I26" s="78" t="s">
        <v>229</v>
      </c>
      <c r="J26" s="78" t="s">
        <v>229</v>
      </c>
      <c r="K26" s="78" t="s">
        <v>231</v>
      </c>
      <c r="L26" s="78" t="s">
        <v>232</v>
      </c>
      <c r="M26" s="58"/>
      <c r="P26" s="78">
        <f t="shared" si="1"/>
        <v>19</v>
      </c>
      <c r="Q26" s="204">
        <f>-PPMT(AssetLiability!$I$8,P26,AssetLiability!$I$10,AssetLiability!$H$16)</f>
        <v>10860.11233846617</v>
      </c>
      <c r="R26" s="204">
        <f>-IPMT(AssetLiability!$I$8,P26,AssetLiability!$I$10,AssetLiability!$H$16)</f>
        <v>7557.350534111799</v>
      </c>
      <c r="S26" s="146">
        <f t="shared" si="2"/>
        <v>157081.0106417958</v>
      </c>
      <c r="T26" s="204"/>
      <c r="U26" s="204"/>
      <c r="V26" s="204"/>
      <c r="W26" s="204"/>
      <c r="X26" s="204"/>
      <c r="Y26" s="204"/>
      <c r="Z26" s="204"/>
      <c r="AA26" s="204"/>
      <c r="AB26" s="204"/>
      <c r="AC26" s="146"/>
      <c r="AD26" s="146"/>
      <c r="AE26" s="146"/>
      <c r="AF26" s="55"/>
      <c r="AG26" s="55"/>
    </row>
    <row r="27" spans="2:33" ht="12.75">
      <c r="B27" s="563" t="s">
        <v>331</v>
      </c>
      <c r="C27" s="546"/>
      <c r="D27" s="88" t="s">
        <v>208</v>
      </c>
      <c r="E27" s="88" t="s">
        <v>283</v>
      </c>
      <c r="F27" s="112" t="s">
        <v>328</v>
      </c>
      <c r="G27" s="113" t="s">
        <v>332</v>
      </c>
      <c r="H27" s="195" t="s">
        <v>281</v>
      </c>
      <c r="I27" s="78" t="s">
        <v>59</v>
      </c>
      <c r="J27" s="78" t="s">
        <v>230</v>
      </c>
      <c r="K27" s="78" t="s">
        <v>269</v>
      </c>
      <c r="L27" s="78" t="s">
        <v>141</v>
      </c>
      <c r="M27" s="58"/>
      <c r="P27" s="78">
        <f t="shared" si="1"/>
        <v>20</v>
      </c>
      <c r="Q27" s="204">
        <f>-PPMT(AssetLiability!$I$8,P27,AssetLiability!$I$10,AssetLiability!$H$16)</f>
        <v>11348.817393697143</v>
      </c>
      <c r="R27" s="204">
        <f>-IPMT(AssetLiability!$I$8,P27,AssetLiability!$I$10,AssetLiability!$H$16)</f>
        <v>7068.645478880827</v>
      </c>
      <c r="S27" s="146">
        <f t="shared" si="2"/>
        <v>145732.19324809866</v>
      </c>
      <c r="T27" s="204"/>
      <c r="U27" s="204"/>
      <c r="V27" s="204"/>
      <c r="W27" s="204"/>
      <c r="X27" s="204"/>
      <c r="Y27" s="204"/>
      <c r="Z27" s="204"/>
      <c r="AA27" s="204"/>
      <c r="AB27" s="204"/>
      <c r="AC27" s="146"/>
      <c r="AD27" s="146"/>
      <c r="AE27" s="146"/>
      <c r="AF27" s="55"/>
      <c r="AG27" s="55"/>
    </row>
    <row r="28" spans="2:33" ht="14.25">
      <c r="B28" s="562" t="s">
        <v>291</v>
      </c>
      <c r="C28" s="562"/>
      <c r="D28" s="89" t="s">
        <v>325</v>
      </c>
      <c r="E28" s="88" t="s">
        <v>284</v>
      </c>
      <c r="F28" s="115" t="s">
        <v>329</v>
      </c>
      <c r="G28" s="89" t="s">
        <v>226</v>
      </c>
      <c r="H28" s="196" t="s">
        <v>282</v>
      </c>
      <c r="I28" s="169" t="s">
        <v>269</v>
      </c>
      <c r="J28" s="169" t="s">
        <v>141</v>
      </c>
      <c r="K28" s="169" t="s">
        <v>233</v>
      </c>
      <c r="L28" s="169" t="s">
        <v>233</v>
      </c>
      <c r="M28" s="58"/>
      <c r="P28" s="78">
        <f t="shared" si="1"/>
        <v>21</v>
      </c>
      <c r="Q28" s="204">
        <f>-PPMT(AssetLiability!$I$8,P28,AssetLiability!$I$10,AssetLiability!$H$16)</f>
        <v>11859.514176413511</v>
      </c>
      <c r="R28" s="204">
        <f>-IPMT(AssetLiability!$I$8,P28,AssetLiability!$I$10,AssetLiability!$H$16)</f>
        <v>6557.948696164458</v>
      </c>
      <c r="S28" s="146">
        <f t="shared" si="2"/>
        <v>133872.67907168515</v>
      </c>
      <c r="T28" s="204"/>
      <c r="U28" s="204"/>
      <c r="V28" s="204"/>
      <c r="W28" s="204"/>
      <c r="X28" s="204"/>
      <c r="Y28" s="204"/>
      <c r="Z28" s="204"/>
      <c r="AA28" s="204"/>
      <c r="AB28" s="204"/>
      <c r="AC28" s="146"/>
      <c r="AD28" s="146"/>
      <c r="AE28" s="146"/>
      <c r="AF28" s="55"/>
      <c r="AG28" s="55"/>
    </row>
    <row r="29" spans="2:33" ht="12.75">
      <c r="B29" s="560" t="s">
        <v>227</v>
      </c>
      <c r="C29" s="561"/>
      <c r="D29" s="49">
        <v>0</v>
      </c>
      <c r="E29" s="49">
        <v>0</v>
      </c>
      <c r="F29" s="49">
        <v>0</v>
      </c>
      <c r="G29" s="52">
        <v>0</v>
      </c>
      <c r="H29" s="73">
        <f>D29*G29</f>
        <v>0</v>
      </c>
      <c r="I29" s="178">
        <f>PPMT($H$8,1,$H$10,$H$29)</f>
        <v>0</v>
      </c>
      <c r="J29" s="178">
        <f>IPMT($H$8,1,$H$10,$H$29)</f>
        <v>0</v>
      </c>
      <c r="K29" s="178">
        <f>PPMT($H$8,1+1,$H$10,$H$29)</f>
        <v>0</v>
      </c>
      <c r="L29" s="178">
        <f>IPMT($H$8,1+1,$H$10,$H$29)</f>
        <v>0</v>
      </c>
      <c r="M29" s="55"/>
      <c r="P29" s="78">
        <f t="shared" si="1"/>
        <v>22</v>
      </c>
      <c r="Q29" s="204">
        <f>-PPMT(AssetLiability!$I$8,P29,AssetLiability!$I$10,AssetLiability!$H$16)</f>
        <v>12393.192314352127</v>
      </c>
      <c r="R29" s="204">
        <f>-IPMT(AssetLiability!$I$8,P29,AssetLiability!$I$10,AssetLiability!$H$16)</f>
        <v>6024.270558225843</v>
      </c>
      <c r="S29" s="146">
        <f t="shared" si="2"/>
        <v>121479.48675733303</v>
      </c>
      <c r="T29" s="204"/>
      <c r="U29" s="204"/>
      <c r="V29" s="204"/>
      <c r="W29" s="204"/>
      <c r="X29" s="204"/>
      <c r="Y29" s="204"/>
      <c r="Z29" s="204"/>
      <c r="AA29" s="204"/>
      <c r="AB29" s="204"/>
      <c r="AC29" s="146"/>
      <c r="AD29" s="146"/>
      <c r="AE29" s="146"/>
      <c r="AF29" s="55"/>
      <c r="AG29" s="55"/>
    </row>
    <row r="30" spans="2:33" ht="12.75">
      <c r="B30" s="552" t="s">
        <v>228</v>
      </c>
      <c r="C30" s="553"/>
      <c r="D30" s="49">
        <v>0</v>
      </c>
      <c r="E30" s="49">
        <v>0</v>
      </c>
      <c r="F30" s="49">
        <v>0</v>
      </c>
      <c r="G30" s="52">
        <v>0</v>
      </c>
      <c r="H30" s="72">
        <f>D30*G30</f>
        <v>0</v>
      </c>
      <c r="I30" s="207">
        <f>PPMT($I$8,1,$I$10,$H$30)</f>
        <v>0</v>
      </c>
      <c r="J30" s="207">
        <f>IPMT($I$8,1,$I$10,$H$30)</f>
        <v>0</v>
      </c>
      <c r="K30" s="207">
        <f>PPMT($I$8,1+1,$I$10,$H$30)</f>
        <v>0</v>
      </c>
      <c r="L30" s="207">
        <f>IPMT($I$8,1+1,$I$10,$H$30)</f>
        <v>0</v>
      </c>
      <c r="M30" s="55"/>
      <c r="P30" s="78">
        <f t="shared" si="1"/>
        <v>23</v>
      </c>
      <c r="Q30" s="204">
        <f>-PPMT(AssetLiability!$I$8,P30,AssetLiability!$I$10,AssetLiability!$H$16)</f>
        <v>12950.885968497967</v>
      </c>
      <c r="R30" s="204">
        <f>-IPMT(AssetLiability!$I$8,P30,AssetLiability!$I$10,AssetLiability!$H$16)</f>
        <v>5466.576904080002</v>
      </c>
      <c r="S30" s="146">
        <f t="shared" si="2"/>
        <v>108528.60078883506</v>
      </c>
      <c r="T30" s="204"/>
      <c r="U30" s="204"/>
      <c r="V30" s="204"/>
      <c r="W30" s="204"/>
      <c r="X30" s="204"/>
      <c r="Y30" s="204"/>
      <c r="Z30" s="204"/>
      <c r="AA30" s="204"/>
      <c r="AB30" s="204"/>
      <c r="AC30" s="146"/>
      <c r="AD30" s="146"/>
      <c r="AE30" s="146"/>
      <c r="AF30" s="55"/>
      <c r="AG30" s="55"/>
    </row>
    <row r="31" spans="2:33" ht="12.75">
      <c r="B31" s="552" t="s">
        <v>19</v>
      </c>
      <c r="C31" s="553"/>
      <c r="D31" s="49">
        <v>0</v>
      </c>
      <c r="E31" s="49">
        <v>0</v>
      </c>
      <c r="F31" s="49">
        <v>0</v>
      </c>
      <c r="G31" s="52">
        <v>0</v>
      </c>
      <c r="H31" s="155">
        <f>D31*G31</f>
        <v>0</v>
      </c>
      <c r="I31" s="208">
        <f>PPMT($H$8,1,$H$10,$H$31)</f>
        <v>0</v>
      </c>
      <c r="J31" s="208">
        <f>IPMT($H$8,1,$H$10,$H$31)</f>
        <v>0</v>
      </c>
      <c r="K31" s="208">
        <f>PPMT($H$8,1+1,$H$10,$H$31)</f>
        <v>0</v>
      </c>
      <c r="L31" s="208">
        <f>IPMT($H$8,1+1,$H$10,$H$31)</f>
        <v>0</v>
      </c>
      <c r="M31" s="58"/>
      <c r="P31" s="78">
        <f t="shared" si="1"/>
        <v>24</v>
      </c>
      <c r="Q31" s="204">
        <f>-PPMT(AssetLiability!$I$8,P31,AssetLiability!$I$10,AssetLiability!$H$16)</f>
        <v>13533.675837080375</v>
      </c>
      <c r="R31" s="204">
        <f>-IPMT(AssetLiability!$I$8,P31,AssetLiability!$I$10,AssetLiability!$H$16)</f>
        <v>4883.787035497595</v>
      </c>
      <c r="S31" s="146">
        <f t="shared" si="2"/>
        <v>94994.92495175469</v>
      </c>
      <c r="T31" s="204"/>
      <c r="U31" s="204"/>
      <c r="V31" s="204"/>
      <c r="W31" s="204"/>
      <c r="X31" s="204"/>
      <c r="Y31" s="204"/>
      <c r="Z31" s="204"/>
      <c r="AA31" s="204"/>
      <c r="AB31" s="204"/>
      <c r="AC31" s="146"/>
      <c r="AD31" s="146"/>
      <c r="AE31" s="146"/>
      <c r="AF31" s="55"/>
      <c r="AG31" s="55"/>
    </row>
    <row r="32" spans="2:33" ht="12.75">
      <c r="B32" s="58"/>
      <c r="C32" s="58"/>
      <c r="D32" s="73">
        <f>SUM(D29:D31)</f>
        <v>0</v>
      </c>
      <c r="E32" s="73">
        <f>SUM(E29:E31)</f>
        <v>0</v>
      </c>
      <c r="F32" s="73">
        <f>SUM(F29:F31)</f>
        <v>0</v>
      </c>
      <c r="G32" s="197"/>
      <c r="H32" s="73">
        <f>SUM(H29:H31)</f>
        <v>0</v>
      </c>
      <c r="I32" s="178">
        <f>-SUM(I29:I31)</f>
        <v>0</v>
      </c>
      <c r="J32" s="178">
        <f>-SUM(J29:J31)</f>
        <v>0</v>
      </c>
      <c r="K32" s="178"/>
      <c r="L32" s="178"/>
      <c r="M32" s="58"/>
      <c r="P32" s="78">
        <f t="shared" si="1"/>
        <v>25</v>
      </c>
      <c r="Q32" s="204">
        <f>-PPMT(AssetLiability!$I$8,P32,AssetLiability!$I$10,AssetLiability!$H$16)</f>
        <v>14142.691249748985</v>
      </c>
      <c r="R32" s="204">
        <f>-IPMT(AssetLiability!$I$8,P32,AssetLiability!$I$10,AssetLiability!$H$16)</f>
        <v>4274.771622828985</v>
      </c>
      <c r="S32" s="146">
        <f t="shared" si="2"/>
        <v>80852.2337020057</v>
      </c>
      <c r="T32" s="204"/>
      <c r="U32" s="204"/>
      <c r="V32" s="204"/>
      <c r="W32" s="204"/>
      <c r="X32" s="204"/>
      <c r="Y32" s="204"/>
      <c r="Z32" s="204"/>
      <c r="AA32" s="204"/>
      <c r="AB32" s="204"/>
      <c r="AC32" s="146"/>
      <c r="AD32" s="146"/>
      <c r="AE32" s="146"/>
      <c r="AF32" s="55"/>
      <c r="AG32" s="55"/>
    </row>
    <row r="33" spans="2:33" ht="12.75">
      <c r="B33" s="58"/>
      <c r="C33" s="58"/>
      <c r="D33" s="58"/>
      <c r="E33" s="58"/>
      <c r="F33" s="58"/>
      <c r="G33" s="58"/>
      <c r="H33" s="58"/>
      <c r="I33" s="58"/>
      <c r="J33" s="58"/>
      <c r="K33" s="58"/>
      <c r="L33" s="58"/>
      <c r="M33" s="58"/>
      <c r="P33" s="78">
        <f t="shared" si="1"/>
        <v>26</v>
      </c>
      <c r="Q33" s="204">
        <f>-PPMT(AssetLiability!$I$8,P33,AssetLiability!$I$10,AssetLiability!$H$16)</f>
        <v>14779.112355987692</v>
      </c>
      <c r="R33" s="204">
        <f>-IPMT(AssetLiability!$I$8,P33,AssetLiability!$I$10,AssetLiability!$H$16)</f>
        <v>3638.3505165902775</v>
      </c>
      <c r="S33" s="146">
        <f t="shared" si="2"/>
        <v>66073.12134601802</v>
      </c>
      <c r="T33" s="204"/>
      <c r="U33" s="204"/>
      <c r="V33" s="204"/>
      <c r="W33" s="204"/>
      <c r="X33" s="204"/>
      <c r="Y33" s="204"/>
      <c r="Z33" s="204"/>
      <c r="AA33" s="204"/>
      <c r="AB33" s="204"/>
      <c r="AC33" s="146"/>
      <c r="AD33" s="146"/>
      <c r="AE33" s="146"/>
      <c r="AF33" s="55"/>
      <c r="AG33" s="55"/>
    </row>
    <row r="34" spans="2:33" ht="12.75">
      <c r="B34" s="58"/>
      <c r="C34" s="58"/>
      <c r="D34" s="58"/>
      <c r="E34" s="58"/>
      <c r="F34" s="58"/>
      <c r="G34" s="58"/>
      <c r="H34" s="58"/>
      <c r="I34" s="58"/>
      <c r="J34" s="58"/>
      <c r="K34" s="58"/>
      <c r="L34" s="58"/>
      <c r="M34" s="58"/>
      <c r="P34" s="78">
        <f t="shared" si="1"/>
        <v>27</v>
      </c>
      <c r="Q34" s="204">
        <f>-PPMT(AssetLiability!$I$8,P34,AssetLiability!$I$10,AssetLiability!$H$16)</f>
        <v>15444.172412007138</v>
      </c>
      <c r="R34" s="204">
        <f>-IPMT(AssetLiability!$I$8,P34,AssetLiability!$I$10,AssetLiability!$H$16)</f>
        <v>2973.2904605708327</v>
      </c>
      <c r="S34" s="146">
        <f t="shared" si="2"/>
        <v>50628.94893401088</v>
      </c>
      <c r="T34" s="204"/>
      <c r="U34" s="204"/>
      <c r="V34" s="204"/>
      <c r="W34" s="204"/>
      <c r="X34" s="204"/>
      <c r="Y34" s="204"/>
      <c r="Z34" s="204"/>
      <c r="AA34" s="204"/>
      <c r="AB34" s="204"/>
      <c r="AC34" s="146"/>
      <c r="AD34" s="146"/>
      <c r="AE34" s="146"/>
      <c r="AF34" s="55"/>
      <c r="AG34" s="55"/>
    </row>
    <row r="35" spans="2:33" ht="12.75">
      <c r="B35" s="58"/>
      <c r="C35" s="58"/>
      <c r="D35" s="58"/>
      <c r="E35" s="58"/>
      <c r="F35" s="58"/>
      <c r="G35" s="58"/>
      <c r="H35" s="58"/>
      <c r="I35" s="58"/>
      <c r="J35" s="58"/>
      <c r="K35" s="58"/>
      <c r="L35" s="58"/>
      <c r="M35" s="58"/>
      <c r="P35" s="78">
        <f t="shared" si="1"/>
        <v>28</v>
      </c>
      <c r="Q35" s="204">
        <f>-PPMT(AssetLiability!$I$8,P35,AssetLiability!$I$10,AssetLiability!$H$16)</f>
        <v>16139.160170547457</v>
      </c>
      <c r="R35" s="204">
        <f>-IPMT(AssetLiability!$I$8,P35,AssetLiability!$I$10,AssetLiability!$H$16)</f>
        <v>2278.3027020305126</v>
      </c>
      <c r="S35" s="146">
        <f t="shared" si="2"/>
        <v>34489.788763463424</v>
      </c>
      <c r="T35" s="204"/>
      <c r="U35" s="204"/>
      <c r="V35" s="204"/>
      <c r="W35" s="204"/>
      <c r="X35" s="204"/>
      <c r="Y35" s="204"/>
      <c r="Z35" s="204"/>
      <c r="AA35" s="204"/>
      <c r="AB35" s="204"/>
      <c r="AC35" s="146"/>
      <c r="AD35" s="146"/>
      <c r="AE35" s="146"/>
      <c r="AF35" s="55"/>
      <c r="AG35" s="55"/>
    </row>
    <row r="36" spans="2:33" ht="12.75">
      <c r="B36" s="58"/>
      <c r="C36" s="58"/>
      <c r="D36" s="58"/>
      <c r="E36" s="58"/>
      <c r="F36" s="58"/>
      <c r="G36" s="58"/>
      <c r="H36" s="58"/>
      <c r="I36" s="58"/>
      <c r="J36" s="58"/>
      <c r="K36" s="58"/>
      <c r="L36" s="58"/>
      <c r="M36" s="58"/>
      <c r="P36" s="78">
        <f t="shared" si="1"/>
        <v>29</v>
      </c>
      <c r="Q36" s="204">
        <f>-PPMT(AssetLiability!$I$8,P36,AssetLiability!$I$10,AssetLiability!$H$16)</f>
        <v>16865.422378222087</v>
      </c>
      <c r="R36" s="204">
        <f>-IPMT(AssetLiability!$I$8,P36,AssetLiability!$I$10,AssetLiability!$H$16)</f>
        <v>1552.0404943558835</v>
      </c>
      <c r="S36" s="146">
        <f t="shared" si="2"/>
        <v>17624.366385241337</v>
      </c>
      <c r="T36" s="204"/>
      <c r="U36" s="204"/>
      <c r="V36" s="204"/>
      <c r="W36" s="204"/>
      <c r="X36" s="204"/>
      <c r="Y36" s="204"/>
      <c r="Z36" s="204"/>
      <c r="AA36" s="204"/>
      <c r="AB36" s="204"/>
      <c r="AC36" s="146"/>
      <c r="AD36" s="146"/>
      <c r="AE36" s="146"/>
      <c r="AF36" s="55"/>
      <c r="AG36" s="55"/>
    </row>
    <row r="37" spans="2:33" ht="12.75">
      <c r="B37" s="58"/>
      <c r="C37" s="58"/>
      <c r="D37" s="58"/>
      <c r="E37" s="58"/>
      <c r="F37" s="58"/>
      <c r="G37" s="58"/>
      <c r="H37" s="58"/>
      <c r="I37" s="58"/>
      <c r="J37" s="58"/>
      <c r="K37" s="58"/>
      <c r="L37" s="58"/>
      <c r="M37" s="58"/>
      <c r="P37" s="78">
        <f t="shared" si="1"/>
        <v>30</v>
      </c>
      <c r="Q37" s="204">
        <f>-PPMT(AssetLiability!$I$8,P37,AssetLiability!$I$10,AssetLiability!$H$16)</f>
        <v>17624.36638524208</v>
      </c>
      <c r="R37" s="204">
        <f>-IPMT(AssetLiability!$I$8,P37,AssetLiability!$I$10,AssetLiability!$H$16)</f>
        <v>793.0964873358887</v>
      </c>
      <c r="S37" s="146">
        <f t="shared" si="2"/>
        <v>-7.421476766467094E-10</v>
      </c>
      <c r="T37" s="204"/>
      <c r="U37" s="204"/>
      <c r="V37" s="204"/>
      <c r="W37" s="204"/>
      <c r="X37" s="204"/>
      <c r="Y37" s="204"/>
      <c r="Z37" s="204"/>
      <c r="AA37" s="204"/>
      <c r="AB37" s="204"/>
      <c r="AC37" s="146"/>
      <c r="AD37" s="146"/>
      <c r="AE37" s="146"/>
      <c r="AF37" s="55"/>
      <c r="AG37" s="55"/>
    </row>
    <row r="38" spans="16:33" ht="12.75">
      <c r="P38" s="78"/>
      <c r="Q38" s="58"/>
      <c r="R38" s="58"/>
      <c r="S38" s="58"/>
      <c r="T38" s="58"/>
      <c r="U38" s="58"/>
      <c r="V38" s="58"/>
      <c r="W38" s="58"/>
      <c r="X38" s="58"/>
      <c r="Y38" s="58"/>
      <c r="Z38" s="58"/>
      <c r="AA38" s="58"/>
      <c r="AB38" s="58"/>
      <c r="AC38" s="55"/>
      <c r="AD38" s="55"/>
      <c r="AE38" s="55"/>
      <c r="AF38" s="55"/>
      <c r="AG38" s="55"/>
    </row>
    <row r="39" spans="16:33" ht="12.75">
      <c r="P39" s="78"/>
      <c r="Q39" s="58"/>
      <c r="R39" s="58"/>
      <c r="S39" s="58"/>
      <c r="T39" s="58"/>
      <c r="U39" s="58"/>
      <c r="V39" s="58"/>
      <c r="W39" s="58"/>
      <c r="X39" s="58"/>
      <c r="Y39" s="58"/>
      <c r="Z39" s="58"/>
      <c r="AA39" s="58"/>
      <c r="AB39" s="58"/>
      <c r="AC39" s="55"/>
      <c r="AD39" s="55"/>
      <c r="AE39" s="55"/>
      <c r="AF39" s="55"/>
      <c r="AG39" s="55"/>
    </row>
    <row r="40" spans="16:33" ht="12.75">
      <c r="P40" s="58"/>
      <c r="Q40" s="58"/>
      <c r="R40" s="58"/>
      <c r="S40" s="58"/>
      <c r="T40" s="58"/>
      <c r="U40" s="58"/>
      <c r="V40" s="58"/>
      <c r="W40" s="58"/>
      <c r="X40" s="58"/>
      <c r="Y40" s="58"/>
      <c r="Z40" s="58"/>
      <c r="AA40" s="58"/>
      <c r="AB40" s="58"/>
      <c r="AC40" s="55"/>
      <c r="AD40" s="55"/>
      <c r="AE40" s="55"/>
      <c r="AF40" s="55"/>
      <c r="AG40" s="55"/>
    </row>
    <row r="41" spans="16:33" ht="12.75">
      <c r="P41" s="58"/>
      <c r="Q41" s="58"/>
      <c r="R41" s="58"/>
      <c r="S41" s="58"/>
      <c r="T41" s="58"/>
      <c r="U41" s="58"/>
      <c r="V41" s="58"/>
      <c r="W41" s="58"/>
      <c r="X41" s="58"/>
      <c r="Y41" s="58"/>
      <c r="Z41" s="58"/>
      <c r="AA41" s="58"/>
      <c r="AB41" s="58"/>
      <c r="AC41" s="55"/>
      <c r="AD41" s="55"/>
      <c r="AE41" s="55"/>
      <c r="AF41" s="55"/>
      <c r="AG41" s="55"/>
    </row>
    <row r="42" spans="16:33" ht="12.75">
      <c r="P42" s="58"/>
      <c r="Q42" s="58"/>
      <c r="R42" s="58"/>
      <c r="S42" s="58"/>
      <c r="T42" s="58"/>
      <c r="U42" s="58"/>
      <c r="V42" s="58"/>
      <c r="W42" s="58"/>
      <c r="X42" s="58"/>
      <c r="Y42" s="58"/>
      <c r="Z42" s="58"/>
      <c r="AA42" s="58"/>
      <c r="AB42" s="58"/>
      <c r="AC42" s="55"/>
      <c r="AD42" s="55"/>
      <c r="AE42" s="55"/>
      <c r="AF42" s="55"/>
      <c r="AG42" s="55"/>
    </row>
    <row r="43" spans="16:33" ht="12.75">
      <c r="P43" s="58"/>
      <c r="Q43" s="58"/>
      <c r="R43" s="58"/>
      <c r="S43" s="58"/>
      <c r="T43" s="58"/>
      <c r="U43" s="58"/>
      <c r="V43" s="58"/>
      <c r="W43" s="58"/>
      <c r="X43" s="58"/>
      <c r="Y43" s="58"/>
      <c r="Z43" s="58"/>
      <c r="AA43" s="58"/>
      <c r="AB43" s="58"/>
      <c r="AC43" s="55"/>
      <c r="AD43" s="55"/>
      <c r="AE43" s="55"/>
      <c r="AF43" s="55"/>
      <c r="AG43" s="55"/>
    </row>
    <row r="44" spans="16:33" ht="12.75">
      <c r="P44" s="58"/>
      <c r="Q44" s="58"/>
      <c r="R44" s="58"/>
      <c r="S44" s="58"/>
      <c r="T44" s="58"/>
      <c r="U44" s="58"/>
      <c r="V44" s="58"/>
      <c r="W44" s="58"/>
      <c r="X44" s="58"/>
      <c r="Y44" s="58"/>
      <c r="Z44" s="58"/>
      <c r="AA44" s="58"/>
      <c r="AB44" s="58"/>
      <c r="AC44" s="55"/>
      <c r="AD44" s="55"/>
      <c r="AE44" s="55"/>
      <c r="AF44" s="55"/>
      <c r="AG44" s="55"/>
    </row>
    <row r="45" spans="16:33" ht="12.75">
      <c r="P45" s="58"/>
      <c r="Q45" s="58"/>
      <c r="R45" s="58"/>
      <c r="S45" s="58"/>
      <c r="T45" s="58"/>
      <c r="U45" s="58"/>
      <c r="V45" s="58"/>
      <c r="W45" s="58"/>
      <c r="X45" s="58"/>
      <c r="Y45" s="58"/>
      <c r="Z45" s="58"/>
      <c r="AA45" s="58"/>
      <c r="AB45" s="58"/>
      <c r="AC45" s="55"/>
      <c r="AD45" s="55"/>
      <c r="AE45" s="55"/>
      <c r="AF45" s="55"/>
      <c r="AG45" s="55"/>
    </row>
    <row r="46" spans="16:33" ht="12.75">
      <c r="P46" s="58"/>
      <c r="Q46" s="58"/>
      <c r="R46" s="58"/>
      <c r="S46" s="58"/>
      <c r="T46" s="58"/>
      <c r="U46" s="58"/>
      <c r="V46" s="58"/>
      <c r="W46" s="58"/>
      <c r="X46" s="58"/>
      <c r="Y46" s="58"/>
      <c r="Z46" s="58"/>
      <c r="AA46" s="58"/>
      <c r="AB46" s="58"/>
      <c r="AC46" s="55"/>
      <c r="AD46" s="55"/>
      <c r="AE46" s="55"/>
      <c r="AF46" s="55"/>
      <c r="AG46" s="55"/>
    </row>
    <row r="47" spans="16:33" ht="12.75">
      <c r="P47" s="58"/>
      <c r="Q47" s="58"/>
      <c r="R47" s="58"/>
      <c r="S47" s="58"/>
      <c r="T47" s="58"/>
      <c r="U47" s="58"/>
      <c r="V47" s="58"/>
      <c r="W47" s="58"/>
      <c r="X47" s="58"/>
      <c r="Y47" s="58"/>
      <c r="Z47" s="58"/>
      <c r="AA47" s="58"/>
      <c r="AB47" s="58"/>
      <c r="AC47" s="55"/>
      <c r="AD47" s="55"/>
      <c r="AE47" s="55"/>
      <c r="AF47" s="55"/>
      <c r="AG47" s="55"/>
    </row>
    <row r="48" spans="16:33" ht="12.75">
      <c r="P48" s="58"/>
      <c r="Q48" s="58"/>
      <c r="R48" s="58"/>
      <c r="S48" s="58"/>
      <c r="T48" s="58"/>
      <c r="U48" s="58"/>
      <c r="V48" s="58"/>
      <c r="W48" s="58"/>
      <c r="X48" s="58"/>
      <c r="Y48" s="58"/>
      <c r="Z48" s="58"/>
      <c r="AA48" s="58"/>
      <c r="AB48" s="58"/>
      <c r="AC48" s="55"/>
      <c r="AD48" s="55"/>
      <c r="AE48" s="55"/>
      <c r="AF48" s="55"/>
      <c r="AG48" s="55"/>
    </row>
    <row r="49" spans="16:33" ht="12.75">
      <c r="P49" s="55"/>
      <c r="Q49" s="55"/>
      <c r="R49" s="55"/>
      <c r="S49" s="55"/>
      <c r="T49" s="55"/>
      <c r="U49" s="55"/>
      <c r="V49" s="55"/>
      <c r="W49" s="55"/>
      <c r="X49" s="55"/>
      <c r="Y49" s="55"/>
      <c r="Z49" s="55"/>
      <c r="AA49" s="55"/>
      <c r="AB49" s="55"/>
      <c r="AC49" s="55"/>
      <c r="AD49" s="55"/>
      <c r="AE49" s="55"/>
      <c r="AF49" s="55"/>
      <c r="AG49" s="55"/>
    </row>
    <row r="50" spans="16:33" ht="12.75">
      <c r="P50" s="55"/>
      <c r="Q50" s="55"/>
      <c r="R50" s="55"/>
      <c r="S50" s="55"/>
      <c r="T50" s="55"/>
      <c r="U50" s="55"/>
      <c r="V50" s="55"/>
      <c r="W50" s="55"/>
      <c r="X50" s="55"/>
      <c r="Y50" s="55"/>
      <c r="Z50" s="55"/>
      <c r="AA50" s="55"/>
      <c r="AB50" s="55"/>
      <c r="AC50" s="55"/>
      <c r="AD50" s="55"/>
      <c r="AE50" s="55"/>
      <c r="AF50" s="55"/>
      <c r="AG50" s="55"/>
    </row>
    <row r="51" spans="16:33" ht="12.75">
      <c r="P51" s="55"/>
      <c r="Q51" s="55"/>
      <c r="R51" s="55"/>
      <c r="S51" s="55"/>
      <c r="T51" s="55"/>
      <c r="U51" s="55"/>
      <c r="V51" s="55"/>
      <c r="W51" s="55"/>
      <c r="X51" s="55"/>
      <c r="Y51" s="55"/>
      <c r="Z51" s="55"/>
      <c r="AA51" s="55"/>
      <c r="AB51" s="55"/>
      <c r="AC51" s="55"/>
      <c r="AD51" s="55"/>
      <c r="AE51" s="55"/>
      <c r="AF51" s="55"/>
      <c r="AG51" s="55"/>
    </row>
    <row r="52" spans="16:33" ht="12.75">
      <c r="P52" s="55"/>
      <c r="Q52" s="55"/>
      <c r="R52" s="55"/>
      <c r="S52" s="55"/>
      <c r="T52" s="55"/>
      <c r="U52" s="55"/>
      <c r="V52" s="55"/>
      <c r="W52" s="55"/>
      <c r="X52" s="55"/>
      <c r="Y52" s="55"/>
      <c r="Z52" s="55"/>
      <c r="AA52" s="55"/>
      <c r="AB52" s="55"/>
      <c r="AC52" s="55"/>
      <c r="AD52" s="55"/>
      <c r="AE52" s="55"/>
      <c r="AF52" s="55"/>
      <c r="AG52" s="55"/>
    </row>
    <row r="53" spans="16:33" ht="12.75">
      <c r="P53" s="55"/>
      <c r="Q53" s="55"/>
      <c r="R53" s="55"/>
      <c r="S53" s="55"/>
      <c r="T53" s="55"/>
      <c r="U53" s="55"/>
      <c r="V53" s="55"/>
      <c r="W53" s="55"/>
      <c r="X53" s="55"/>
      <c r="Y53" s="55"/>
      <c r="Z53" s="55"/>
      <c r="AA53" s="55"/>
      <c r="AB53" s="55"/>
      <c r="AC53" s="55"/>
      <c r="AD53" s="55"/>
      <c r="AE53" s="55"/>
      <c r="AF53" s="55"/>
      <c r="AG53" s="55"/>
    </row>
  </sheetData>
  <sheetProtection formatCells="0" formatColumns="0" formatRows="0"/>
  <mergeCells count="20">
    <mergeCell ref="AC5:AD5"/>
    <mergeCell ref="Q6:R6"/>
    <mergeCell ref="AC6:AD6"/>
    <mergeCell ref="W6:X6"/>
    <mergeCell ref="Z6:AA6"/>
    <mergeCell ref="T6:U6"/>
    <mergeCell ref="B4:L4"/>
    <mergeCell ref="B19:C19"/>
    <mergeCell ref="B13:C13"/>
    <mergeCell ref="B17:C17"/>
    <mergeCell ref="B18:C18"/>
    <mergeCell ref="B12:C12"/>
    <mergeCell ref="B16:C16"/>
    <mergeCell ref="H12:L12"/>
    <mergeCell ref="B31:C31"/>
    <mergeCell ref="B26:C26"/>
    <mergeCell ref="B29:C29"/>
    <mergeCell ref="B30:C30"/>
    <mergeCell ref="B28:C28"/>
    <mergeCell ref="B27:C27"/>
  </mergeCells>
  <conditionalFormatting sqref="F16 E16:E19">
    <cfRule type="cellIs" priority="1" dxfId="2" operator="lessThan" stopIfTrue="1">
      <formula>0</formula>
    </cfRule>
  </conditionalFormatting>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sheetPr codeName="Sheet9"/>
  <dimension ref="A5:N105"/>
  <sheetViews>
    <sheetView showGridLines="0" zoomScale="80" zoomScaleNormal="80" zoomScalePageLayoutView="0" workbookViewId="0" topLeftCell="A1">
      <selection activeCell="B3" sqref="B3"/>
    </sheetView>
  </sheetViews>
  <sheetFormatPr defaultColWidth="10.28125" defaultRowHeight="12.75"/>
  <cols>
    <col min="1" max="1" width="6.421875" style="251" customWidth="1"/>
    <col min="2" max="2" width="31.00390625" style="251" customWidth="1"/>
    <col min="3" max="3" width="14.28125" style="251" customWidth="1"/>
    <col min="4" max="12" width="12.140625" style="251" customWidth="1"/>
    <col min="13" max="16384" width="10.28125" style="251" customWidth="1"/>
  </cols>
  <sheetData>
    <row r="1" ht="15.75"/>
    <row r="2" ht="15.75"/>
    <row r="3" ht="15.75"/>
    <row r="4" ht="15.75"/>
    <row r="5" spans="1:14" ht="15.75">
      <c r="A5"/>
      <c r="B5" s="564" t="s">
        <v>409</v>
      </c>
      <c r="C5" s="564"/>
      <c r="D5" s="564"/>
      <c r="E5" s="564"/>
      <c r="F5" s="564"/>
      <c r="G5" s="564"/>
      <c r="H5" s="564"/>
      <c r="I5" s="564"/>
      <c r="J5" s="564"/>
      <c r="K5" s="564"/>
      <c r="L5" s="564"/>
      <c r="M5"/>
      <c r="N5"/>
    </row>
    <row r="6" spans="1:14" ht="15.75">
      <c r="A6" s="223"/>
      <c r="B6" s="224"/>
      <c r="C6" s="224"/>
      <c r="D6" s="224"/>
      <c r="E6" s="224"/>
      <c r="F6" s="224"/>
      <c r="G6" s="224"/>
      <c r="H6" s="224"/>
      <c r="I6" s="224"/>
      <c r="J6" s="224"/>
      <c r="K6" s="224"/>
      <c r="L6" s="224"/>
      <c r="M6" s="223"/>
      <c r="N6" s="223"/>
    </row>
    <row r="7" spans="1:14" ht="15.75">
      <c r="A7" s="201" t="s">
        <v>378</v>
      </c>
      <c r="B7" s="33" t="s">
        <v>408</v>
      </c>
      <c r="C7"/>
      <c r="D7"/>
      <c r="E7"/>
      <c r="F7" s="124" t="s">
        <v>415</v>
      </c>
      <c r="G7"/>
      <c r="H7"/>
      <c r="I7"/>
      <c r="J7"/>
      <c r="K7"/>
      <c r="L7"/>
      <c r="M7"/>
      <c r="N7"/>
    </row>
    <row r="8" spans="1:14" ht="15.75">
      <c r="A8"/>
      <c r="B8" s="33"/>
      <c r="C8"/>
      <c r="D8" s="569" t="s">
        <v>387</v>
      </c>
      <c r="E8" s="569"/>
      <c r="F8" s="569"/>
      <c r="G8" s="569"/>
      <c r="H8" s="569"/>
      <c r="I8" s="569"/>
      <c r="J8" s="569"/>
      <c r="K8" s="569"/>
      <c r="L8" s="569"/>
      <c r="M8"/>
      <c r="N8"/>
    </row>
    <row r="9" spans="1:14" ht="15.75">
      <c r="A9"/>
      <c r="B9"/>
      <c r="C9"/>
      <c r="D9" s="565" t="s">
        <v>385</v>
      </c>
      <c r="E9" s="566"/>
      <c r="F9" s="566"/>
      <c r="G9" s="566"/>
      <c r="H9" s="566"/>
      <c r="I9" s="566"/>
      <c r="J9" s="566"/>
      <c r="K9" s="566"/>
      <c r="L9" s="567"/>
      <c r="M9"/>
      <c r="N9"/>
    </row>
    <row r="10" spans="1:14" ht="15.75">
      <c r="A10"/>
      <c r="B10"/>
      <c r="C10" s="225" t="s">
        <v>412</v>
      </c>
      <c r="D10" s="227" t="s">
        <v>379</v>
      </c>
      <c r="E10" s="228" t="s">
        <v>379</v>
      </c>
      <c r="F10" s="228" t="s">
        <v>369</v>
      </c>
      <c r="G10" s="228" t="s">
        <v>369</v>
      </c>
      <c r="H10" s="228" t="s">
        <v>379</v>
      </c>
      <c r="I10" s="228" t="s">
        <v>379</v>
      </c>
      <c r="J10" s="228" t="s">
        <v>369</v>
      </c>
      <c r="K10" s="228" t="s">
        <v>369</v>
      </c>
      <c r="L10" s="229" t="s">
        <v>369</v>
      </c>
      <c r="M10"/>
      <c r="N10"/>
    </row>
    <row r="11" spans="1:14" ht="15.75">
      <c r="A11"/>
      <c r="B11"/>
      <c r="C11"/>
      <c r="D11" s="200" t="str">
        <f>Income!$D$7</f>
        <v>Dry Wheat</v>
      </c>
      <c r="E11" s="200" t="str">
        <f>Income!$E$7</f>
        <v>Dry Corn</v>
      </c>
      <c r="F11" s="200" t="str">
        <f>Income!$F$7</f>
        <v>Irr Corn North</v>
      </c>
      <c r="G11" s="200" t="str">
        <f>Income!$G$7</f>
        <v>Fallow</v>
      </c>
      <c r="H11" s="200" t="str">
        <f>Income!$H$7</f>
        <v>Not Used</v>
      </c>
      <c r="I11" s="200" t="str">
        <f>Income!$I$7</f>
        <v>Not Used</v>
      </c>
      <c r="J11" s="200" t="str">
        <f>Income!$J$7</f>
        <v>Not Used</v>
      </c>
      <c r="K11" s="200" t="str">
        <f>Income!$K$7</f>
        <v>Not Used</v>
      </c>
      <c r="L11" s="200" t="str">
        <f>Income!$L$7</f>
        <v>Not Used</v>
      </c>
      <c r="M11"/>
      <c r="N11"/>
    </row>
    <row r="12" spans="1:14" ht="15.75">
      <c r="A12"/>
      <c r="B12" t="s">
        <v>454</v>
      </c>
      <c r="C12"/>
      <c r="D12" s="200">
        <f>Income!D9</f>
        <v>750</v>
      </c>
      <c r="E12" s="200">
        <f>Income!E9</f>
        <v>500</v>
      </c>
      <c r="F12" s="200">
        <f>Income!F9</f>
        <v>500</v>
      </c>
      <c r="G12" s="200">
        <f>Income!G9</f>
        <v>750</v>
      </c>
      <c r="H12" s="200">
        <f>Income!H9</f>
        <v>0</v>
      </c>
      <c r="I12" s="200">
        <f>Income!I9</f>
        <v>0</v>
      </c>
      <c r="J12" s="200">
        <f>Income!J9</f>
        <v>0</v>
      </c>
      <c r="K12" s="200">
        <f>Income!K9</f>
        <v>0</v>
      </c>
      <c r="L12" s="200">
        <f>Income!L9</f>
        <v>0</v>
      </c>
      <c r="M12"/>
      <c r="N12"/>
    </row>
    <row r="13" spans="1:14" ht="15.75">
      <c r="A13"/>
      <c r="B13" t="s">
        <v>392</v>
      </c>
      <c r="C13"/>
      <c r="D13" s="230">
        <v>0</v>
      </c>
      <c r="E13" s="231">
        <v>0</v>
      </c>
      <c r="F13" s="231">
        <v>0</v>
      </c>
      <c r="G13" s="231">
        <v>0</v>
      </c>
      <c r="H13" s="231">
        <v>0</v>
      </c>
      <c r="I13" s="231">
        <v>0</v>
      </c>
      <c r="J13" s="231">
        <v>0</v>
      </c>
      <c r="K13" s="231">
        <v>0</v>
      </c>
      <c r="L13" s="232">
        <v>0</v>
      </c>
      <c r="M13"/>
      <c r="N13"/>
    </row>
    <row r="14" spans="1:14" ht="15.75">
      <c r="A14" s="201" t="s">
        <v>378</v>
      </c>
      <c r="B14" t="s">
        <v>376</v>
      </c>
      <c r="C14"/>
      <c r="D14" s="233">
        <v>0</v>
      </c>
      <c r="E14" s="234">
        <v>0</v>
      </c>
      <c r="F14" s="234">
        <v>0</v>
      </c>
      <c r="G14" s="234">
        <v>0</v>
      </c>
      <c r="H14" s="234">
        <v>0</v>
      </c>
      <c r="I14" s="234">
        <v>0</v>
      </c>
      <c r="J14" s="234">
        <v>0</v>
      </c>
      <c r="K14" s="234">
        <v>0</v>
      </c>
      <c r="L14" s="235">
        <v>0</v>
      </c>
      <c r="M14"/>
      <c r="N14"/>
    </row>
    <row r="15" spans="1:14" ht="15.75">
      <c r="A15" s="201" t="s">
        <v>378</v>
      </c>
      <c r="B15" t="s">
        <v>386</v>
      </c>
      <c r="C15"/>
      <c r="D15" s="236">
        <v>0</v>
      </c>
      <c r="E15" s="237">
        <v>0</v>
      </c>
      <c r="F15" s="237">
        <v>0</v>
      </c>
      <c r="G15" s="237">
        <v>0</v>
      </c>
      <c r="H15" s="237">
        <v>0</v>
      </c>
      <c r="I15" s="237">
        <v>0</v>
      </c>
      <c r="J15" s="237">
        <v>0</v>
      </c>
      <c r="K15" s="237">
        <v>0</v>
      </c>
      <c r="L15" s="238">
        <v>0</v>
      </c>
      <c r="M15"/>
      <c r="N15"/>
    </row>
    <row r="16" spans="1:14" ht="15.75">
      <c r="A16" s="201" t="s">
        <v>378</v>
      </c>
      <c r="B16" t="s">
        <v>411</v>
      </c>
      <c r="C16"/>
      <c r="D16" s="236">
        <v>0</v>
      </c>
      <c r="E16" s="237">
        <v>0</v>
      </c>
      <c r="F16" s="237">
        <v>0</v>
      </c>
      <c r="G16" s="237">
        <v>0</v>
      </c>
      <c r="H16" s="237">
        <v>0</v>
      </c>
      <c r="I16" s="237">
        <v>0</v>
      </c>
      <c r="J16" s="237">
        <v>0</v>
      </c>
      <c r="K16" s="237">
        <v>0</v>
      </c>
      <c r="L16" s="238">
        <v>0</v>
      </c>
      <c r="M16"/>
      <c r="N16"/>
    </row>
    <row r="17" spans="1:14" ht="15.75">
      <c r="A17" s="201" t="s">
        <v>378</v>
      </c>
      <c r="B17" t="s">
        <v>380</v>
      </c>
      <c r="C17"/>
      <c r="D17" s="239">
        <v>0</v>
      </c>
      <c r="E17" s="240">
        <v>0</v>
      </c>
      <c r="F17" s="240">
        <v>1</v>
      </c>
      <c r="G17" s="240">
        <v>2</v>
      </c>
      <c r="H17" s="240">
        <v>3</v>
      </c>
      <c r="I17" s="240">
        <v>4</v>
      </c>
      <c r="J17" s="240">
        <v>5</v>
      </c>
      <c r="K17" s="240">
        <v>6</v>
      </c>
      <c r="L17" s="241">
        <v>0</v>
      </c>
      <c r="M17"/>
      <c r="N17"/>
    </row>
    <row r="18" spans="1:14" ht="15.75">
      <c r="A18" s="201" t="s">
        <v>378</v>
      </c>
      <c r="B18" t="s">
        <v>377</v>
      </c>
      <c r="C18"/>
      <c r="D18" s="242">
        <v>0</v>
      </c>
      <c r="E18" s="243">
        <v>0</v>
      </c>
      <c r="F18" s="243">
        <v>1</v>
      </c>
      <c r="G18" s="243">
        <v>2</v>
      </c>
      <c r="H18" s="243">
        <v>3</v>
      </c>
      <c r="I18" s="243">
        <v>4</v>
      </c>
      <c r="J18" s="243">
        <v>5</v>
      </c>
      <c r="K18" s="243">
        <v>6</v>
      </c>
      <c r="L18" s="244">
        <v>0</v>
      </c>
      <c r="M18"/>
      <c r="N18"/>
    </row>
    <row r="19" spans="1:14" ht="15.75">
      <c r="A19"/>
      <c r="B19"/>
      <c r="C19"/>
      <c r="D19"/>
      <c r="E19"/>
      <c r="F19"/>
      <c r="G19"/>
      <c r="H19"/>
      <c r="I19"/>
      <c r="J19"/>
      <c r="K19"/>
      <c r="L19"/>
      <c r="M19"/>
      <c r="N19"/>
    </row>
    <row r="20" spans="1:14" ht="15.75">
      <c r="A20"/>
      <c r="B20" t="s">
        <v>381</v>
      </c>
      <c r="C20"/>
      <c r="D20" s="199">
        <f aca="true" t="shared" si="0" ref="D20:L20">D14*D15</f>
        <v>0</v>
      </c>
      <c r="E20" s="199">
        <f t="shared" si="0"/>
        <v>0</v>
      </c>
      <c r="F20" s="199">
        <f t="shared" si="0"/>
        <v>0</v>
      </c>
      <c r="G20" s="199">
        <f t="shared" si="0"/>
        <v>0</v>
      </c>
      <c r="H20" s="199">
        <f t="shared" si="0"/>
        <v>0</v>
      </c>
      <c r="I20" s="199">
        <f t="shared" si="0"/>
        <v>0</v>
      </c>
      <c r="J20" s="199">
        <f t="shared" si="0"/>
        <v>0</v>
      </c>
      <c r="K20" s="199">
        <f t="shared" si="0"/>
        <v>0</v>
      </c>
      <c r="L20" s="199">
        <f t="shared" si="0"/>
        <v>0</v>
      </c>
      <c r="M20"/>
      <c r="N20"/>
    </row>
    <row r="21" spans="1:14" ht="15.75">
      <c r="A21"/>
      <c r="B21" t="s">
        <v>393</v>
      </c>
      <c r="C21"/>
      <c r="D21" s="245">
        <v>0</v>
      </c>
      <c r="E21" s="246">
        <v>0</v>
      </c>
      <c r="F21" s="246">
        <v>0</v>
      </c>
      <c r="G21" s="246">
        <v>0</v>
      </c>
      <c r="H21" s="246">
        <v>0</v>
      </c>
      <c r="I21" s="246">
        <v>0</v>
      </c>
      <c r="J21" s="246">
        <v>0</v>
      </c>
      <c r="K21" s="246">
        <v>0</v>
      </c>
      <c r="L21" s="247">
        <v>0</v>
      </c>
      <c r="M21"/>
      <c r="N21"/>
    </row>
    <row r="22" spans="1:14" ht="15.75">
      <c r="A22"/>
      <c r="B22" t="s">
        <v>382</v>
      </c>
      <c r="C22"/>
      <c r="D22" s="220">
        <f aca="true" t="shared" si="1" ref="D22:L22">IF(D21&gt;=D20,0,D13*(D20-D21))</f>
        <v>0</v>
      </c>
      <c r="E22" s="220">
        <f t="shared" si="1"/>
        <v>0</v>
      </c>
      <c r="F22" s="220">
        <f t="shared" si="1"/>
        <v>0</v>
      </c>
      <c r="G22" s="220">
        <f t="shared" si="1"/>
        <v>0</v>
      </c>
      <c r="H22" s="220">
        <f t="shared" si="1"/>
        <v>0</v>
      </c>
      <c r="I22" s="220">
        <f t="shared" si="1"/>
        <v>0</v>
      </c>
      <c r="J22" s="220">
        <f t="shared" si="1"/>
        <v>0</v>
      </c>
      <c r="K22" s="220">
        <f t="shared" si="1"/>
        <v>0</v>
      </c>
      <c r="L22" s="220">
        <f t="shared" si="1"/>
        <v>0</v>
      </c>
      <c r="M22"/>
      <c r="N22"/>
    </row>
    <row r="23" spans="1:14" ht="15.75">
      <c r="A23"/>
      <c r="B23" t="s">
        <v>383</v>
      </c>
      <c r="C23"/>
      <c r="D23" s="202">
        <f aca="true" t="shared" si="2" ref="D23:L23">D17*D18</f>
        <v>0</v>
      </c>
      <c r="E23" s="202">
        <f t="shared" si="2"/>
        <v>0</v>
      </c>
      <c r="F23" s="202">
        <f t="shared" si="2"/>
        <v>1</v>
      </c>
      <c r="G23" s="202">
        <f t="shared" si="2"/>
        <v>4</v>
      </c>
      <c r="H23" s="202">
        <f t="shared" si="2"/>
        <v>9</v>
      </c>
      <c r="I23" s="202">
        <f t="shared" si="2"/>
        <v>16</v>
      </c>
      <c r="J23" s="202">
        <f t="shared" si="2"/>
        <v>25</v>
      </c>
      <c r="K23" s="202">
        <f t="shared" si="2"/>
        <v>36</v>
      </c>
      <c r="L23" s="202">
        <f t="shared" si="2"/>
        <v>0</v>
      </c>
      <c r="M23"/>
      <c r="N23"/>
    </row>
    <row r="24" spans="1:14" ht="15.75">
      <c r="A24"/>
      <c r="B24" t="s">
        <v>413</v>
      </c>
      <c r="C24"/>
      <c r="D24" s="203">
        <f aca="true" t="shared" si="3" ref="D24:L24">D13*D20*D23</f>
        <v>0</v>
      </c>
      <c r="E24" s="203">
        <f t="shared" si="3"/>
        <v>0</v>
      </c>
      <c r="F24" s="203">
        <f t="shared" si="3"/>
        <v>0</v>
      </c>
      <c r="G24" s="203">
        <f t="shared" si="3"/>
        <v>0</v>
      </c>
      <c r="H24" s="203">
        <f t="shared" si="3"/>
        <v>0</v>
      </c>
      <c r="I24" s="203">
        <f t="shared" si="3"/>
        <v>0</v>
      </c>
      <c r="J24" s="203">
        <f t="shared" si="3"/>
        <v>0</v>
      </c>
      <c r="K24" s="203">
        <f t="shared" si="3"/>
        <v>0</v>
      </c>
      <c r="L24" s="203">
        <f t="shared" si="3"/>
        <v>0</v>
      </c>
      <c r="M24"/>
      <c r="N24"/>
    </row>
    <row r="25" spans="1:14" ht="15.75">
      <c r="A25"/>
      <c r="B25" t="s">
        <v>403</v>
      </c>
      <c r="C25"/>
      <c r="D25" s="203">
        <f aca="true" t="shared" si="4" ref="D25:L25">IF(D22=0,0,D13*(D20-D21)*D23)</f>
        <v>0</v>
      </c>
      <c r="E25" s="203">
        <f t="shared" si="4"/>
        <v>0</v>
      </c>
      <c r="F25" s="203">
        <f t="shared" si="4"/>
        <v>0</v>
      </c>
      <c r="G25" s="203">
        <f t="shared" si="4"/>
        <v>0</v>
      </c>
      <c r="H25" s="203">
        <f t="shared" si="4"/>
        <v>0</v>
      </c>
      <c r="I25" s="203">
        <f t="shared" si="4"/>
        <v>0</v>
      </c>
      <c r="J25" s="203">
        <f t="shared" si="4"/>
        <v>0</v>
      </c>
      <c r="K25" s="203">
        <f t="shared" si="4"/>
        <v>0</v>
      </c>
      <c r="L25" s="203">
        <f t="shared" si="4"/>
        <v>0</v>
      </c>
      <c r="M25"/>
      <c r="N25"/>
    </row>
    <row r="26" spans="1:14" ht="15.75">
      <c r="A26"/>
      <c r="B26" t="s">
        <v>405</v>
      </c>
      <c r="C26"/>
      <c r="D26" s="203">
        <f>SUM(D24:L24)</f>
        <v>0</v>
      </c>
      <c r="E26"/>
      <c r="F26"/>
      <c r="G26"/>
      <c r="H26"/>
      <c r="I26"/>
      <c r="J26"/>
      <c r="K26"/>
      <c r="L26"/>
      <c r="M26"/>
      <c r="N26"/>
    </row>
    <row r="27" spans="1:14" ht="15.75">
      <c r="A27"/>
      <c r="B27" t="s">
        <v>404</v>
      </c>
      <c r="C27"/>
      <c r="D27" s="203">
        <f>+SUM(D25:L25)</f>
        <v>0</v>
      </c>
      <c r="E27"/>
      <c r="F27"/>
      <c r="G27"/>
      <c r="H27"/>
      <c r="I27"/>
      <c r="J27"/>
      <c r="K27"/>
      <c r="L27"/>
      <c r="M27"/>
      <c r="N27"/>
    </row>
    <row r="28" spans="1:14" ht="15.75">
      <c r="A28"/>
      <c r="B28" s="221"/>
      <c r="C28" s="221"/>
      <c r="D28" s="221"/>
      <c r="E28" s="221"/>
      <c r="F28" s="221"/>
      <c r="G28" s="221"/>
      <c r="H28" s="221"/>
      <c r="I28" s="221"/>
      <c r="J28" s="221"/>
      <c r="K28" s="221"/>
      <c r="L28" s="221"/>
      <c r="M28"/>
      <c r="N28"/>
    </row>
    <row r="29" spans="1:14" ht="15.75">
      <c r="A29"/>
      <c r="B29"/>
      <c r="C29"/>
      <c r="D29" s="71" t="s">
        <v>395</v>
      </c>
      <c r="E29" s="71"/>
      <c r="F29" s="71"/>
      <c r="G29" s="71"/>
      <c r="H29" s="71"/>
      <c r="I29" s="71"/>
      <c r="J29" s="71"/>
      <c r="K29" s="71"/>
      <c r="L29" s="71"/>
      <c r="M29"/>
      <c r="N29"/>
    </row>
    <row r="30" spans="1:14" ht="15.75">
      <c r="A30"/>
      <c r="B30"/>
      <c r="C30"/>
      <c r="D30" s="199">
        <f>Income!$D$9-D13</f>
        <v>750</v>
      </c>
      <c r="E30" s="199">
        <f>Income!$E$9-E13</f>
        <v>500</v>
      </c>
      <c r="F30" s="199">
        <f>Income!$F$9-F13</f>
        <v>500</v>
      </c>
      <c r="G30" s="199">
        <f>Income!$G$9-G13</f>
        <v>750</v>
      </c>
      <c r="H30" s="199">
        <f>Income!$H$9-H13</f>
        <v>0</v>
      </c>
      <c r="I30" s="199">
        <f>Income!$I$9-I13</f>
        <v>0</v>
      </c>
      <c r="J30" s="199">
        <f>Income!$J$9-J13</f>
        <v>0</v>
      </c>
      <c r="K30" s="199">
        <f>Income!$K$9-K13</f>
        <v>0</v>
      </c>
      <c r="L30" s="199">
        <f>Income!$L$9-L13</f>
        <v>0</v>
      </c>
      <c r="M30"/>
      <c r="N30"/>
    </row>
    <row r="31" spans="1:14" ht="15.75">
      <c r="A31"/>
      <c r="B31"/>
      <c r="C31"/>
      <c r="D31" s="569" t="s">
        <v>388</v>
      </c>
      <c r="E31" s="569"/>
      <c r="F31" s="569"/>
      <c r="G31" s="569"/>
      <c r="H31" s="569"/>
      <c r="I31" s="569"/>
      <c r="J31" s="569"/>
      <c r="K31" s="569"/>
      <c r="L31" s="569"/>
      <c r="M31"/>
      <c r="N31"/>
    </row>
    <row r="32" spans="1:14" ht="15.75">
      <c r="A32"/>
      <c r="B32"/>
      <c r="C32"/>
      <c r="D32" s="565" t="s">
        <v>385</v>
      </c>
      <c r="E32" s="566"/>
      <c r="F32" s="566"/>
      <c r="G32" s="566"/>
      <c r="H32" s="566"/>
      <c r="I32" s="566"/>
      <c r="J32" s="566"/>
      <c r="K32" s="566"/>
      <c r="L32" s="567"/>
      <c r="M32"/>
      <c r="N32"/>
    </row>
    <row r="33" spans="1:14" ht="15.75">
      <c r="A33"/>
      <c r="B33"/>
      <c r="C33" s="225" t="s">
        <v>412</v>
      </c>
      <c r="D33" s="227" t="s">
        <v>379</v>
      </c>
      <c r="E33" s="228" t="s">
        <v>379</v>
      </c>
      <c r="F33" s="228" t="s">
        <v>369</v>
      </c>
      <c r="G33" s="228" t="s">
        <v>369</v>
      </c>
      <c r="H33" s="228" t="s">
        <v>379</v>
      </c>
      <c r="I33" s="228" t="s">
        <v>379</v>
      </c>
      <c r="J33" s="228" t="s">
        <v>369</v>
      </c>
      <c r="K33" s="228" t="s">
        <v>369</v>
      </c>
      <c r="L33" s="229" t="s">
        <v>369</v>
      </c>
      <c r="M33"/>
      <c r="N33"/>
    </row>
    <row r="34" spans="1:14" ht="15.75">
      <c r="A34"/>
      <c r="B34"/>
      <c r="C34"/>
      <c r="D34" s="200" t="str">
        <f>Income!$D$7</f>
        <v>Dry Wheat</v>
      </c>
      <c r="E34" s="200" t="str">
        <f>Income!$E$7</f>
        <v>Dry Corn</v>
      </c>
      <c r="F34" s="200" t="str">
        <f>Income!$F$7</f>
        <v>Irr Corn North</v>
      </c>
      <c r="G34" s="200" t="str">
        <f>Income!$G$7</f>
        <v>Fallow</v>
      </c>
      <c r="H34" s="200" t="str">
        <f>Income!$H$7</f>
        <v>Not Used</v>
      </c>
      <c r="I34" s="200" t="str">
        <f>Income!$I$7</f>
        <v>Not Used</v>
      </c>
      <c r="J34" s="200" t="str">
        <f>Income!$J$7</f>
        <v>Not Used</v>
      </c>
      <c r="K34" s="200" t="str">
        <f>Income!$K$7</f>
        <v>Not Used</v>
      </c>
      <c r="L34" s="200" t="str">
        <f>Income!$L$7</f>
        <v>Not Used</v>
      </c>
      <c r="M34"/>
      <c r="N34"/>
    </row>
    <row r="35" spans="1:14" ht="15.75">
      <c r="A35"/>
      <c r="B35" t="s">
        <v>391</v>
      </c>
      <c r="C35"/>
      <c r="D35" s="230">
        <v>0</v>
      </c>
      <c r="E35" s="230">
        <v>0</v>
      </c>
      <c r="F35" s="230">
        <v>0</v>
      </c>
      <c r="G35" s="230">
        <v>0</v>
      </c>
      <c r="H35" s="230">
        <v>0</v>
      </c>
      <c r="I35" s="230">
        <v>0</v>
      </c>
      <c r="J35" s="230">
        <v>0</v>
      </c>
      <c r="K35" s="230">
        <v>0</v>
      </c>
      <c r="L35" s="232">
        <v>0</v>
      </c>
      <c r="M35"/>
      <c r="N35"/>
    </row>
    <row r="36" spans="1:14" ht="15.75">
      <c r="A36" s="201" t="s">
        <v>378</v>
      </c>
      <c r="B36" t="s">
        <v>376</v>
      </c>
      <c r="C36"/>
      <c r="D36" s="233">
        <v>0</v>
      </c>
      <c r="E36" s="233">
        <v>0</v>
      </c>
      <c r="F36" s="233">
        <v>0</v>
      </c>
      <c r="G36" s="233">
        <v>0</v>
      </c>
      <c r="H36" s="233">
        <v>0</v>
      </c>
      <c r="I36" s="233">
        <v>0</v>
      </c>
      <c r="J36" s="233">
        <v>0</v>
      </c>
      <c r="K36" s="233">
        <v>0</v>
      </c>
      <c r="L36" s="235">
        <v>0</v>
      </c>
      <c r="M36"/>
      <c r="N36"/>
    </row>
    <row r="37" spans="1:14" ht="15.75">
      <c r="A37" s="201" t="s">
        <v>378</v>
      </c>
      <c r="B37" t="s">
        <v>386</v>
      </c>
      <c r="C37"/>
      <c r="D37" s="236">
        <v>0</v>
      </c>
      <c r="E37" s="236">
        <v>0</v>
      </c>
      <c r="F37" s="236">
        <v>0</v>
      </c>
      <c r="G37" s="236">
        <v>0</v>
      </c>
      <c r="H37" s="236">
        <v>0</v>
      </c>
      <c r="I37" s="236">
        <v>0</v>
      </c>
      <c r="J37" s="236">
        <v>0</v>
      </c>
      <c r="K37" s="236">
        <v>0</v>
      </c>
      <c r="L37" s="238">
        <v>0</v>
      </c>
      <c r="M37"/>
      <c r="N37"/>
    </row>
    <row r="38" spans="1:14" ht="15.75">
      <c r="A38" s="201" t="s">
        <v>378</v>
      </c>
      <c r="B38" t="s">
        <v>411</v>
      </c>
      <c r="C38"/>
      <c r="D38" s="236">
        <v>0</v>
      </c>
      <c r="E38" s="236">
        <v>0</v>
      </c>
      <c r="F38" s="236">
        <v>0</v>
      </c>
      <c r="G38" s="236">
        <v>0</v>
      </c>
      <c r="H38" s="236">
        <v>0</v>
      </c>
      <c r="I38" s="236">
        <v>0</v>
      </c>
      <c r="J38" s="236">
        <v>0</v>
      </c>
      <c r="K38" s="236">
        <v>0</v>
      </c>
      <c r="L38" s="238">
        <v>0</v>
      </c>
      <c r="M38"/>
      <c r="N38"/>
    </row>
    <row r="39" spans="1:14" ht="15.75">
      <c r="A39" s="201" t="s">
        <v>378</v>
      </c>
      <c r="B39" t="s">
        <v>380</v>
      </c>
      <c r="C39"/>
      <c r="D39" s="239">
        <v>0</v>
      </c>
      <c r="E39" s="239">
        <v>1</v>
      </c>
      <c r="F39" s="239">
        <v>2</v>
      </c>
      <c r="G39" s="239">
        <v>3</v>
      </c>
      <c r="H39" s="239">
        <v>4</v>
      </c>
      <c r="I39" s="239">
        <v>5</v>
      </c>
      <c r="J39" s="239">
        <v>6</v>
      </c>
      <c r="K39" s="239">
        <v>7</v>
      </c>
      <c r="L39" s="241">
        <v>0</v>
      </c>
      <c r="M39"/>
      <c r="N39"/>
    </row>
    <row r="40" spans="1:14" ht="15.75">
      <c r="A40" s="201" t="s">
        <v>378</v>
      </c>
      <c r="B40" t="s">
        <v>377</v>
      </c>
      <c r="C40"/>
      <c r="D40" s="242">
        <v>0</v>
      </c>
      <c r="E40" s="242">
        <v>1</v>
      </c>
      <c r="F40" s="242">
        <v>2</v>
      </c>
      <c r="G40" s="242">
        <v>3</v>
      </c>
      <c r="H40" s="242">
        <v>4</v>
      </c>
      <c r="I40" s="242">
        <v>5</v>
      </c>
      <c r="J40" s="242">
        <v>6</v>
      </c>
      <c r="K40" s="242">
        <v>7</v>
      </c>
      <c r="L40" s="244">
        <v>0</v>
      </c>
      <c r="M40"/>
      <c r="N40"/>
    </row>
    <row r="41" spans="1:14" ht="15.75">
      <c r="A41"/>
      <c r="B41"/>
      <c r="C41"/>
      <c r="D41"/>
      <c r="E41"/>
      <c r="F41"/>
      <c r="G41"/>
      <c r="H41"/>
      <c r="I41"/>
      <c r="J41"/>
      <c r="K41"/>
      <c r="L41"/>
      <c r="M41"/>
      <c r="N41"/>
    </row>
    <row r="42" spans="1:14" ht="15.75">
      <c r="A42"/>
      <c r="B42" t="s">
        <v>381</v>
      </c>
      <c r="C42"/>
      <c r="D42" s="199">
        <f aca="true" t="shared" si="5" ref="D42:L42">D36*D37</f>
        <v>0</v>
      </c>
      <c r="E42" s="199">
        <f t="shared" si="5"/>
        <v>0</v>
      </c>
      <c r="F42" s="199">
        <f t="shared" si="5"/>
        <v>0</v>
      </c>
      <c r="G42" s="199">
        <f t="shared" si="5"/>
        <v>0</v>
      </c>
      <c r="H42" s="199">
        <f t="shared" si="5"/>
        <v>0</v>
      </c>
      <c r="I42" s="199">
        <f t="shared" si="5"/>
        <v>0</v>
      </c>
      <c r="J42" s="199">
        <f t="shared" si="5"/>
        <v>0</v>
      </c>
      <c r="K42" s="199">
        <f t="shared" si="5"/>
        <v>0</v>
      </c>
      <c r="L42" s="199">
        <f t="shared" si="5"/>
        <v>0</v>
      </c>
      <c r="M42"/>
      <c r="N42"/>
    </row>
    <row r="43" spans="1:14" ht="15.75">
      <c r="A43"/>
      <c r="B43" t="s">
        <v>393</v>
      </c>
      <c r="C43"/>
      <c r="D43" s="245">
        <v>0</v>
      </c>
      <c r="E43" s="246">
        <v>0</v>
      </c>
      <c r="F43" s="246">
        <v>0</v>
      </c>
      <c r="G43" s="246">
        <v>0</v>
      </c>
      <c r="H43" s="246">
        <v>0</v>
      </c>
      <c r="I43" s="246">
        <v>0</v>
      </c>
      <c r="J43" s="246">
        <v>0</v>
      </c>
      <c r="K43" s="246">
        <v>0</v>
      </c>
      <c r="L43" s="247">
        <v>0</v>
      </c>
      <c r="M43"/>
      <c r="N43"/>
    </row>
    <row r="44" spans="1:14" ht="15.75">
      <c r="A44"/>
      <c r="B44" t="s">
        <v>382</v>
      </c>
      <c r="C44"/>
      <c r="D44" s="226">
        <f aca="true" t="shared" si="6" ref="D44:L44">IF(D43&gt;=D42,0,D35*(D42-D43))</f>
        <v>0</v>
      </c>
      <c r="E44" s="220">
        <f t="shared" si="6"/>
        <v>0</v>
      </c>
      <c r="F44" s="220">
        <f t="shared" si="6"/>
        <v>0</v>
      </c>
      <c r="G44" s="220">
        <f t="shared" si="6"/>
        <v>0</v>
      </c>
      <c r="H44" s="220">
        <f t="shared" si="6"/>
        <v>0</v>
      </c>
      <c r="I44" s="220">
        <f t="shared" si="6"/>
        <v>0</v>
      </c>
      <c r="J44" s="220">
        <f t="shared" si="6"/>
        <v>0</v>
      </c>
      <c r="K44" s="220">
        <f t="shared" si="6"/>
        <v>0</v>
      </c>
      <c r="L44" s="220">
        <f t="shared" si="6"/>
        <v>0</v>
      </c>
      <c r="M44"/>
      <c r="N44"/>
    </row>
    <row r="45" spans="1:14" ht="15.75">
      <c r="A45"/>
      <c r="B45" t="s">
        <v>383</v>
      </c>
      <c r="C45"/>
      <c r="D45" s="202">
        <f aca="true" t="shared" si="7" ref="D45:L45">D39*D40</f>
        <v>0</v>
      </c>
      <c r="E45" s="202">
        <f t="shared" si="7"/>
        <v>1</v>
      </c>
      <c r="F45" s="202">
        <f t="shared" si="7"/>
        <v>4</v>
      </c>
      <c r="G45" s="202">
        <f t="shared" si="7"/>
        <v>9</v>
      </c>
      <c r="H45" s="202">
        <f t="shared" si="7"/>
        <v>16</v>
      </c>
      <c r="I45" s="202">
        <f t="shared" si="7"/>
        <v>25</v>
      </c>
      <c r="J45" s="202">
        <f t="shared" si="7"/>
        <v>36</v>
      </c>
      <c r="K45" s="202">
        <f t="shared" si="7"/>
        <v>49</v>
      </c>
      <c r="L45" s="202">
        <f t="shared" si="7"/>
        <v>0</v>
      </c>
      <c r="M45"/>
      <c r="N45"/>
    </row>
    <row r="46" spans="1:14" ht="15.75">
      <c r="A46"/>
      <c r="B46" t="s">
        <v>413</v>
      </c>
      <c r="C46"/>
      <c r="D46" s="203">
        <f aca="true" t="shared" si="8" ref="D46:L46">D35*D42*D45</f>
        <v>0</v>
      </c>
      <c r="E46" s="203">
        <f t="shared" si="8"/>
        <v>0</v>
      </c>
      <c r="F46" s="203">
        <f t="shared" si="8"/>
        <v>0</v>
      </c>
      <c r="G46" s="203">
        <f t="shared" si="8"/>
        <v>0</v>
      </c>
      <c r="H46" s="203">
        <f t="shared" si="8"/>
        <v>0</v>
      </c>
      <c r="I46" s="203">
        <f t="shared" si="8"/>
        <v>0</v>
      </c>
      <c r="J46" s="203">
        <f t="shared" si="8"/>
        <v>0</v>
      </c>
      <c r="K46" s="203">
        <f t="shared" si="8"/>
        <v>0</v>
      </c>
      <c r="L46" s="203">
        <f t="shared" si="8"/>
        <v>0</v>
      </c>
      <c r="M46"/>
      <c r="N46"/>
    </row>
    <row r="47" spans="1:14" ht="15.75">
      <c r="A47"/>
      <c r="B47" t="s">
        <v>403</v>
      </c>
      <c r="C47"/>
      <c r="D47" s="203">
        <f aca="true" t="shared" si="9" ref="D47:L47">IF(D44=0,0,D35*(D42-D43)*D45)</f>
        <v>0</v>
      </c>
      <c r="E47" s="203">
        <f t="shared" si="9"/>
        <v>0</v>
      </c>
      <c r="F47" s="203">
        <f t="shared" si="9"/>
        <v>0</v>
      </c>
      <c r="G47" s="203">
        <f t="shared" si="9"/>
        <v>0</v>
      </c>
      <c r="H47" s="203">
        <f t="shared" si="9"/>
        <v>0</v>
      </c>
      <c r="I47" s="203">
        <f t="shared" si="9"/>
        <v>0</v>
      </c>
      <c r="J47" s="203">
        <f t="shared" si="9"/>
        <v>0</v>
      </c>
      <c r="K47" s="203">
        <f t="shared" si="9"/>
        <v>0</v>
      </c>
      <c r="L47" s="203">
        <f t="shared" si="9"/>
        <v>0</v>
      </c>
      <c r="M47"/>
      <c r="N47"/>
    </row>
    <row r="48" spans="1:14" ht="15.75">
      <c r="A48"/>
      <c r="B48" t="s">
        <v>405</v>
      </c>
      <c r="C48"/>
      <c r="D48" s="203">
        <f>SUM(D46:L46)</f>
        <v>0</v>
      </c>
      <c r="E48"/>
      <c r="F48"/>
      <c r="G48"/>
      <c r="H48"/>
      <c r="I48"/>
      <c r="J48"/>
      <c r="K48"/>
      <c r="L48"/>
      <c r="M48"/>
      <c r="N48"/>
    </row>
    <row r="49" spans="1:14" ht="15.75">
      <c r="A49"/>
      <c r="B49" t="s">
        <v>404</v>
      </c>
      <c r="C49"/>
      <c r="D49" s="203">
        <f>+SUM(D47:L47)</f>
        <v>0</v>
      </c>
      <c r="E49"/>
      <c r="F49"/>
      <c r="G49"/>
      <c r="H49"/>
      <c r="I49"/>
      <c r="J49"/>
      <c r="K49"/>
      <c r="L49"/>
      <c r="M49"/>
      <c r="N49"/>
    </row>
    <row r="50" spans="1:14" ht="15.75">
      <c r="A50"/>
      <c r="B50" s="221"/>
      <c r="C50" s="221"/>
      <c r="D50" s="221"/>
      <c r="E50" s="221"/>
      <c r="F50" s="221"/>
      <c r="G50" s="221"/>
      <c r="H50" s="221"/>
      <c r="I50" s="221"/>
      <c r="J50" s="221"/>
      <c r="K50" s="221"/>
      <c r="L50" s="221"/>
      <c r="M50"/>
      <c r="N50"/>
    </row>
    <row r="51" spans="1:14" ht="15.75">
      <c r="A51"/>
      <c r="B51"/>
      <c r="C51"/>
      <c r="D51" s="71" t="s">
        <v>396</v>
      </c>
      <c r="E51" s="71"/>
      <c r="F51" s="71"/>
      <c r="G51" s="71"/>
      <c r="H51" s="71"/>
      <c r="I51" s="71"/>
      <c r="J51" s="71"/>
      <c r="K51" s="71"/>
      <c r="L51" s="71"/>
      <c r="M51"/>
      <c r="N51"/>
    </row>
    <row r="52" spans="1:14" ht="15.75">
      <c r="A52"/>
      <c r="B52"/>
      <c r="C52"/>
      <c r="D52" s="199">
        <f aca="true" t="shared" si="10" ref="D52:L52">D30-D35</f>
        <v>750</v>
      </c>
      <c r="E52" s="199">
        <f t="shared" si="10"/>
        <v>500</v>
      </c>
      <c r="F52" s="199">
        <f t="shared" si="10"/>
        <v>500</v>
      </c>
      <c r="G52" s="199">
        <f t="shared" si="10"/>
        <v>750</v>
      </c>
      <c r="H52" s="199">
        <f t="shared" si="10"/>
        <v>0</v>
      </c>
      <c r="I52" s="199">
        <f t="shared" si="10"/>
        <v>0</v>
      </c>
      <c r="J52" s="199">
        <f t="shared" si="10"/>
        <v>0</v>
      </c>
      <c r="K52" s="199">
        <f t="shared" si="10"/>
        <v>0</v>
      </c>
      <c r="L52" s="199">
        <f t="shared" si="10"/>
        <v>0</v>
      </c>
      <c r="M52"/>
      <c r="N52"/>
    </row>
    <row r="53" spans="1:14" ht="15.75">
      <c r="A53"/>
      <c r="B53"/>
      <c r="C53"/>
      <c r="D53" s="569" t="s">
        <v>389</v>
      </c>
      <c r="E53" s="569"/>
      <c r="F53" s="569"/>
      <c r="G53" s="569"/>
      <c r="H53" s="569"/>
      <c r="I53" s="569"/>
      <c r="J53" s="569"/>
      <c r="K53" s="569"/>
      <c r="L53" s="569"/>
      <c r="M53"/>
      <c r="N53"/>
    </row>
    <row r="54" spans="1:14" ht="15.75">
      <c r="A54"/>
      <c r="B54"/>
      <c r="C54"/>
      <c r="D54" s="565" t="s">
        <v>385</v>
      </c>
      <c r="E54" s="566"/>
      <c r="F54" s="566"/>
      <c r="G54" s="566"/>
      <c r="H54" s="566"/>
      <c r="I54" s="566"/>
      <c r="J54" s="566"/>
      <c r="K54" s="566"/>
      <c r="L54" s="567"/>
      <c r="M54"/>
      <c r="N54"/>
    </row>
    <row r="55" spans="1:14" ht="15.75">
      <c r="A55"/>
      <c r="B55"/>
      <c r="C55" s="225" t="s">
        <v>412</v>
      </c>
      <c r="D55" s="227" t="s">
        <v>379</v>
      </c>
      <c r="E55" s="228" t="s">
        <v>379</v>
      </c>
      <c r="F55" s="228" t="s">
        <v>369</v>
      </c>
      <c r="G55" s="228" t="s">
        <v>369</v>
      </c>
      <c r="H55" s="228" t="s">
        <v>379</v>
      </c>
      <c r="I55" s="228" t="s">
        <v>379</v>
      </c>
      <c r="J55" s="228" t="s">
        <v>369</v>
      </c>
      <c r="K55" s="228" t="s">
        <v>369</v>
      </c>
      <c r="L55" s="229" t="s">
        <v>369</v>
      </c>
      <c r="M55"/>
      <c r="N55"/>
    </row>
    <row r="56" spans="1:14" ht="15.75">
      <c r="A56"/>
      <c r="B56"/>
      <c r="C56"/>
      <c r="D56" s="200" t="str">
        <f>Income!$D$7</f>
        <v>Dry Wheat</v>
      </c>
      <c r="E56" s="200" t="str">
        <f>Income!$E$7</f>
        <v>Dry Corn</v>
      </c>
      <c r="F56" s="200" t="str">
        <f>Income!$F$7</f>
        <v>Irr Corn North</v>
      </c>
      <c r="G56" s="200" t="str">
        <f>Income!$G$7</f>
        <v>Fallow</v>
      </c>
      <c r="H56" s="200" t="str">
        <f>Income!$H$7</f>
        <v>Not Used</v>
      </c>
      <c r="I56" s="200" t="str">
        <f>Income!$I$7</f>
        <v>Not Used</v>
      </c>
      <c r="J56" s="200" t="str">
        <f>Income!$J$7</f>
        <v>Not Used</v>
      </c>
      <c r="K56" s="200" t="str">
        <f>Income!$K$7</f>
        <v>Not Used</v>
      </c>
      <c r="L56" s="200" t="str">
        <f>Income!$L$7</f>
        <v>Not Used</v>
      </c>
      <c r="M56"/>
      <c r="N56"/>
    </row>
    <row r="57" spans="1:14" ht="15.75">
      <c r="A57"/>
      <c r="B57" t="s">
        <v>390</v>
      </c>
      <c r="C57"/>
      <c r="D57" s="230"/>
      <c r="E57" s="231"/>
      <c r="F57" s="231"/>
      <c r="G57" s="231"/>
      <c r="H57" s="231"/>
      <c r="I57" s="231"/>
      <c r="J57" s="231"/>
      <c r="K57" s="231"/>
      <c r="L57" s="232"/>
      <c r="M57"/>
      <c r="N57"/>
    </row>
    <row r="58" spans="1:14" ht="15.75">
      <c r="A58" s="201" t="s">
        <v>378</v>
      </c>
      <c r="B58" t="s">
        <v>376</v>
      </c>
      <c r="C58"/>
      <c r="D58" s="233"/>
      <c r="E58" s="234"/>
      <c r="F58" s="234"/>
      <c r="G58" s="234"/>
      <c r="H58" s="234"/>
      <c r="I58" s="234"/>
      <c r="J58" s="234"/>
      <c r="K58" s="234"/>
      <c r="L58" s="235"/>
      <c r="M58"/>
      <c r="N58"/>
    </row>
    <row r="59" spans="1:14" ht="15.75">
      <c r="A59" s="201" t="s">
        <v>378</v>
      </c>
      <c r="B59" t="s">
        <v>386</v>
      </c>
      <c r="C59"/>
      <c r="D59" s="236"/>
      <c r="E59" s="237"/>
      <c r="F59" s="237"/>
      <c r="G59" s="237"/>
      <c r="H59" s="237"/>
      <c r="I59" s="237"/>
      <c r="J59" s="237"/>
      <c r="K59" s="237"/>
      <c r="L59" s="238"/>
      <c r="M59"/>
      <c r="N59"/>
    </row>
    <row r="60" spans="1:14" ht="15.75">
      <c r="A60" s="201" t="s">
        <v>378</v>
      </c>
      <c r="B60" t="s">
        <v>411</v>
      </c>
      <c r="C60"/>
      <c r="D60" s="236"/>
      <c r="E60" s="237"/>
      <c r="F60" s="237"/>
      <c r="G60" s="237"/>
      <c r="H60" s="237"/>
      <c r="I60" s="237"/>
      <c r="J60" s="237"/>
      <c r="K60" s="237"/>
      <c r="L60" s="238"/>
      <c r="M60"/>
      <c r="N60"/>
    </row>
    <row r="61" spans="1:14" ht="15.75">
      <c r="A61" s="201" t="s">
        <v>378</v>
      </c>
      <c r="B61" t="s">
        <v>380</v>
      </c>
      <c r="C61"/>
      <c r="D61" s="239"/>
      <c r="E61" s="240"/>
      <c r="F61" s="240"/>
      <c r="G61" s="240"/>
      <c r="H61" s="240"/>
      <c r="I61" s="240"/>
      <c r="J61" s="240"/>
      <c r="K61" s="240"/>
      <c r="L61" s="241"/>
      <c r="M61"/>
      <c r="N61"/>
    </row>
    <row r="62" spans="1:14" ht="15.75">
      <c r="A62" s="201" t="s">
        <v>378</v>
      </c>
      <c r="B62" t="s">
        <v>377</v>
      </c>
      <c r="C62"/>
      <c r="D62" s="242"/>
      <c r="E62" s="243"/>
      <c r="F62" s="243"/>
      <c r="G62" s="243"/>
      <c r="H62" s="243"/>
      <c r="I62" s="243"/>
      <c r="J62" s="243"/>
      <c r="K62" s="243"/>
      <c r="L62" s="244"/>
      <c r="M62"/>
      <c r="N62"/>
    </row>
    <row r="63" spans="1:14" ht="15.75">
      <c r="A63"/>
      <c r="B63"/>
      <c r="C63"/>
      <c r="D63"/>
      <c r="E63"/>
      <c r="F63"/>
      <c r="G63"/>
      <c r="H63"/>
      <c r="I63"/>
      <c r="J63"/>
      <c r="K63"/>
      <c r="L63"/>
      <c r="M63"/>
      <c r="N63"/>
    </row>
    <row r="64" spans="1:14" ht="15.75">
      <c r="A64"/>
      <c r="B64" t="s">
        <v>381</v>
      </c>
      <c r="C64"/>
      <c r="D64" s="199">
        <f aca="true" t="shared" si="11" ref="D64:L64">D58*D59</f>
        <v>0</v>
      </c>
      <c r="E64" s="199">
        <f t="shared" si="11"/>
        <v>0</v>
      </c>
      <c r="F64" s="199">
        <f t="shared" si="11"/>
        <v>0</v>
      </c>
      <c r="G64" s="199">
        <f t="shared" si="11"/>
        <v>0</v>
      </c>
      <c r="H64" s="199">
        <f t="shared" si="11"/>
        <v>0</v>
      </c>
      <c r="I64" s="199">
        <f t="shared" si="11"/>
        <v>0</v>
      </c>
      <c r="J64" s="199">
        <f t="shared" si="11"/>
        <v>0</v>
      </c>
      <c r="K64" s="199">
        <f t="shared" si="11"/>
        <v>0</v>
      </c>
      <c r="L64" s="199">
        <f t="shared" si="11"/>
        <v>0</v>
      </c>
      <c r="M64"/>
      <c r="N64"/>
    </row>
    <row r="65" spans="1:14" ht="15.75">
      <c r="A65"/>
      <c r="B65" t="s">
        <v>393</v>
      </c>
      <c r="C65"/>
      <c r="D65" s="245">
        <v>0</v>
      </c>
      <c r="E65" s="246">
        <v>0</v>
      </c>
      <c r="F65" s="246">
        <v>0</v>
      </c>
      <c r="G65" s="246">
        <v>0</v>
      </c>
      <c r="H65" s="246">
        <v>0</v>
      </c>
      <c r="I65" s="246">
        <v>0</v>
      </c>
      <c r="J65" s="246">
        <v>0</v>
      </c>
      <c r="K65" s="246">
        <v>0</v>
      </c>
      <c r="L65" s="247">
        <v>0</v>
      </c>
      <c r="M65"/>
      <c r="N65"/>
    </row>
    <row r="66" spans="1:14" ht="15.75">
      <c r="A66"/>
      <c r="B66" t="s">
        <v>401</v>
      </c>
      <c r="C66"/>
      <c r="D66" s="220">
        <f aca="true" t="shared" si="12" ref="D66:L66">IF(D65&gt;=D64,0,D57*(D64-D65))</f>
        <v>0</v>
      </c>
      <c r="E66" s="220">
        <f t="shared" si="12"/>
        <v>0</v>
      </c>
      <c r="F66" s="220">
        <f t="shared" si="12"/>
        <v>0</v>
      </c>
      <c r="G66" s="220">
        <f t="shared" si="12"/>
        <v>0</v>
      </c>
      <c r="H66" s="220">
        <f t="shared" si="12"/>
        <v>0</v>
      </c>
      <c r="I66" s="220">
        <f t="shared" si="12"/>
        <v>0</v>
      </c>
      <c r="J66" s="220">
        <f t="shared" si="12"/>
        <v>0</v>
      </c>
      <c r="K66" s="220">
        <f t="shared" si="12"/>
        <v>0</v>
      </c>
      <c r="L66" s="220">
        <f t="shared" si="12"/>
        <v>0</v>
      </c>
      <c r="M66"/>
      <c r="N66"/>
    </row>
    <row r="67" spans="1:14" ht="15.75">
      <c r="A67"/>
      <c r="B67" t="s">
        <v>383</v>
      </c>
      <c r="C67"/>
      <c r="D67" s="202">
        <f aca="true" t="shared" si="13" ref="D67:L67">D61*D62</f>
        <v>0</v>
      </c>
      <c r="E67" s="202">
        <f t="shared" si="13"/>
        <v>0</v>
      </c>
      <c r="F67" s="202">
        <f t="shared" si="13"/>
        <v>0</v>
      </c>
      <c r="G67" s="202">
        <f t="shared" si="13"/>
        <v>0</v>
      </c>
      <c r="H67" s="202">
        <f t="shared" si="13"/>
        <v>0</v>
      </c>
      <c r="I67" s="202">
        <f t="shared" si="13"/>
        <v>0</v>
      </c>
      <c r="J67" s="202">
        <f t="shared" si="13"/>
        <v>0</v>
      </c>
      <c r="K67" s="202">
        <f t="shared" si="13"/>
        <v>0</v>
      </c>
      <c r="L67" s="202">
        <f t="shared" si="13"/>
        <v>0</v>
      </c>
      <c r="M67"/>
      <c r="N67"/>
    </row>
    <row r="68" spans="1:14" ht="15.75">
      <c r="A68"/>
      <c r="B68" t="s">
        <v>413</v>
      </c>
      <c r="C68"/>
      <c r="D68" s="203">
        <f aca="true" t="shared" si="14" ref="D68:L68">D57*D64*D67</f>
        <v>0</v>
      </c>
      <c r="E68" s="203">
        <f t="shared" si="14"/>
        <v>0</v>
      </c>
      <c r="F68" s="203">
        <f t="shared" si="14"/>
        <v>0</v>
      </c>
      <c r="G68" s="203">
        <f t="shared" si="14"/>
        <v>0</v>
      </c>
      <c r="H68" s="203">
        <f t="shared" si="14"/>
        <v>0</v>
      </c>
      <c r="I68" s="203">
        <f t="shared" si="14"/>
        <v>0</v>
      </c>
      <c r="J68" s="203">
        <f t="shared" si="14"/>
        <v>0</v>
      </c>
      <c r="K68" s="203">
        <f t="shared" si="14"/>
        <v>0</v>
      </c>
      <c r="L68" s="203">
        <f t="shared" si="14"/>
        <v>0</v>
      </c>
      <c r="M68"/>
      <c r="N68"/>
    </row>
    <row r="69" spans="1:14" ht="15.75">
      <c r="A69"/>
      <c r="B69" t="s">
        <v>403</v>
      </c>
      <c r="C69"/>
      <c r="D69" s="203">
        <f aca="true" t="shared" si="15" ref="D69:L69">IF(D66=0,0,D57*(D64-D65)*D67)</f>
        <v>0</v>
      </c>
      <c r="E69" s="203">
        <f t="shared" si="15"/>
        <v>0</v>
      </c>
      <c r="F69" s="203">
        <f t="shared" si="15"/>
        <v>0</v>
      </c>
      <c r="G69" s="203">
        <f t="shared" si="15"/>
        <v>0</v>
      </c>
      <c r="H69" s="203">
        <f t="shared" si="15"/>
        <v>0</v>
      </c>
      <c r="I69" s="203">
        <f t="shared" si="15"/>
        <v>0</v>
      </c>
      <c r="J69" s="203">
        <f t="shared" si="15"/>
        <v>0</v>
      </c>
      <c r="K69" s="203">
        <f t="shared" si="15"/>
        <v>0</v>
      </c>
      <c r="L69" s="203">
        <f t="shared" si="15"/>
        <v>0</v>
      </c>
      <c r="M69"/>
      <c r="N69"/>
    </row>
    <row r="70" spans="1:14" ht="15.75">
      <c r="A70"/>
      <c r="B70" t="s">
        <v>405</v>
      </c>
      <c r="C70"/>
      <c r="D70" s="203">
        <f>SUM(D68:L68)</f>
        <v>0</v>
      </c>
      <c r="E70"/>
      <c r="F70"/>
      <c r="G70"/>
      <c r="H70"/>
      <c r="I70"/>
      <c r="J70"/>
      <c r="K70"/>
      <c r="L70"/>
      <c r="M70"/>
      <c r="N70"/>
    </row>
    <row r="71" spans="1:14" ht="15.75">
      <c r="A71"/>
      <c r="B71" t="s">
        <v>404</v>
      </c>
      <c r="C71"/>
      <c r="D71" s="203">
        <f>+SUM(D69:L69)</f>
        <v>0</v>
      </c>
      <c r="E71"/>
      <c r="F71"/>
      <c r="G71"/>
      <c r="H71"/>
      <c r="I71"/>
      <c r="J71"/>
      <c r="K71"/>
      <c r="L71"/>
      <c r="M71"/>
      <c r="N71"/>
    </row>
    <row r="72" spans="1:14" ht="15.75">
      <c r="A72"/>
      <c r="B72" s="221"/>
      <c r="C72" s="221"/>
      <c r="D72" s="221"/>
      <c r="E72" s="221"/>
      <c r="F72" s="221"/>
      <c r="G72" s="221"/>
      <c r="H72" s="221"/>
      <c r="I72" s="221"/>
      <c r="J72" s="221"/>
      <c r="K72" s="221"/>
      <c r="L72" s="221"/>
      <c r="M72"/>
      <c r="N72"/>
    </row>
    <row r="73" spans="1:14" ht="15.75">
      <c r="A73"/>
      <c r="B73"/>
      <c r="C73"/>
      <c r="D73" s="71" t="s">
        <v>397</v>
      </c>
      <c r="E73" s="71"/>
      <c r="F73" s="71"/>
      <c r="G73" s="71"/>
      <c r="H73" s="71"/>
      <c r="I73" s="71"/>
      <c r="J73" s="71"/>
      <c r="K73" s="71"/>
      <c r="L73" s="71"/>
      <c r="M73"/>
      <c r="N73"/>
    </row>
    <row r="74" spans="1:14" ht="15.75">
      <c r="A74"/>
      <c r="B74"/>
      <c r="C74"/>
      <c r="D74" s="199">
        <f aca="true" t="shared" si="16" ref="D74:L74">D52-D57</f>
        <v>750</v>
      </c>
      <c r="E74" s="199">
        <f t="shared" si="16"/>
        <v>500</v>
      </c>
      <c r="F74" s="199">
        <f t="shared" si="16"/>
        <v>500</v>
      </c>
      <c r="G74" s="199">
        <f t="shared" si="16"/>
        <v>750</v>
      </c>
      <c r="H74" s="199">
        <f t="shared" si="16"/>
        <v>0</v>
      </c>
      <c r="I74" s="199">
        <f t="shared" si="16"/>
        <v>0</v>
      </c>
      <c r="J74" s="199">
        <f t="shared" si="16"/>
        <v>0</v>
      </c>
      <c r="K74" s="199">
        <f t="shared" si="16"/>
        <v>0</v>
      </c>
      <c r="L74" s="199">
        <f t="shared" si="16"/>
        <v>0</v>
      </c>
      <c r="M74"/>
      <c r="N74"/>
    </row>
    <row r="75" spans="1:14" ht="15.75">
      <c r="A75"/>
      <c r="B75"/>
      <c r="C75"/>
      <c r="D75" s="200" t="str">
        <f>Income!$D$7</f>
        <v>Dry Wheat</v>
      </c>
      <c r="E75" s="200" t="str">
        <f>Income!$E$7</f>
        <v>Dry Corn</v>
      </c>
      <c r="F75" s="200" t="str">
        <f>Income!$F$7</f>
        <v>Irr Corn North</v>
      </c>
      <c r="G75" s="200" t="str">
        <f>Income!$G$7</f>
        <v>Fallow</v>
      </c>
      <c r="H75" s="200" t="str">
        <f>Income!$H$7</f>
        <v>Not Used</v>
      </c>
      <c r="I75" s="200" t="str">
        <f>Income!$I$7</f>
        <v>Not Used</v>
      </c>
      <c r="J75" s="200" t="str">
        <f>Income!$J$7</f>
        <v>Not Used</v>
      </c>
      <c r="K75" s="200" t="str">
        <f>Income!$K$7</f>
        <v>Not Used</v>
      </c>
      <c r="L75" s="200" t="str">
        <f>Income!$L$7</f>
        <v>Not Used</v>
      </c>
      <c r="M75"/>
      <c r="N75"/>
    </row>
    <row r="76" spans="1:14" ht="15.75">
      <c r="A76" s="201" t="s">
        <v>378</v>
      </c>
      <c r="B76" t="s">
        <v>394</v>
      </c>
      <c r="C76"/>
      <c r="D76" s="203">
        <f aca="true" t="shared" si="17" ref="D76:L76">D24+D46+D68</f>
        <v>0</v>
      </c>
      <c r="E76" s="203">
        <f t="shared" si="17"/>
        <v>0</v>
      </c>
      <c r="F76" s="203">
        <f t="shared" si="17"/>
        <v>0</v>
      </c>
      <c r="G76" s="203">
        <f t="shared" si="17"/>
        <v>0</v>
      </c>
      <c r="H76" s="203">
        <f t="shared" si="17"/>
        <v>0</v>
      </c>
      <c r="I76" s="203">
        <f t="shared" si="17"/>
        <v>0</v>
      </c>
      <c r="J76" s="203">
        <f t="shared" si="17"/>
        <v>0</v>
      </c>
      <c r="K76" s="203">
        <f t="shared" si="17"/>
        <v>0</v>
      </c>
      <c r="L76" s="203">
        <f t="shared" si="17"/>
        <v>0</v>
      </c>
      <c r="M76" s="219"/>
      <c r="N76"/>
    </row>
    <row r="77" spans="1:14" ht="15.75">
      <c r="A77"/>
      <c r="B77" t="s">
        <v>455</v>
      </c>
      <c r="C77"/>
      <c r="D77" s="248">
        <v>0.06</v>
      </c>
      <c r="E77" s="248">
        <v>0.06</v>
      </c>
      <c r="F77" s="248">
        <v>0.06</v>
      </c>
      <c r="G77" s="248">
        <v>0.05</v>
      </c>
      <c r="H77" s="248">
        <v>0.06</v>
      </c>
      <c r="I77" s="248">
        <v>0.06</v>
      </c>
      <c r="J77" s="248">
        <v>0.06</v>
      </c>
      <c r="K77" s="248">
        <v>0</v>
      </c>
      <c r="L77" s="248">
        <v>0</v>
      </c>
      <c r="M77"/>
      <c r="N77"/>
    </row>
    <row r="78" spans="1:14" ht="15.75">
      <c r="A78"/>
      <c r="B78" t="s">
        <v>398</v>
      </c>
      <c r="C78"/>
      <c r="D78" s="203">
        <f aca="true" t="shared" si="18" ref="D78:L78">D76*D77</f>
        <v>0</v>
      </c>
      <c r="E78" s="203">
        <f t="shared" si="18"/>
        <v>0</v>
      </c>
      <c r="F78" s="203">
        <f t="shared" si="18"/>
        <v>0</v>
      </c>
      <c r="G78" s="203">
        <f t="shared" si="18"/>
        <v>0</v>
      </c>
      <c r="H78" s="203">
        <f t="shared" si="18"/>
        <v>0</v>
      </c>
      <c r="I78" s="203">
        <f t="shared" si="18"/>
        <v>0</v>
      </c>
      <c r="J78" s="203">
        <f t="shared" si="18"/>
        <v>0</v>
      </c>
      <c r="K78" s="203">
        <f t="shared" si="18"/>
        <v>0</v>
      </c>
      <c r="L78" s="203">
        <f t="shared" si="18"/>
        <v>0</v>
      </c>
      <c r="M78"/>
      <c r="N78"/>
    </row>
    <row r="79" spans="1:14" ht="15.75">
      <c r="A79"/>
      <c r="B79" t="s">
        <v>399</v>
      </c>
      <c r="C79"/>
      <c r="D79" s="248">
        <v>0.55</v>
      </c>
      <c r="E79" s="248">
        <v>0.55</v>
      </c>
      <c r="F79" s="248">
        <v>0.55</v>
      </c>
      <c r="G79" s="248">
        <v>0.55</v>
      </c>
      <c r="H79" s="248">
        <v>0.55</v>
      </c>
      <c r="I79" s="248">
        <v>0.55</v>
      </c>
      <c r="J79" s="248">
        <v>0.55</v>
      </c>
      <c r="K79" s="248">
        <v>0.55</v>
      </c>
      <c r="L79" s="248">
        <v>0.55</v>
      </c>
      <c r="M79"/>
      <c r="N79"/>
    </row>
    <row r="80" spans="1:14" ht="15.75">
      <c r="A80"/>
      <c r="B80" t="s">
        <v>456</v>
      </c>
      <c r="C80"/>
      <c r="D80" s="292">
        <f>D78*D79</f>
        <v>0</v>
      </c>
      <c r="E80" s="292">
        <f aca="true" t="shared" si="19" ref="E80:L80">E78*E79</f>
        <v>0</v>
      </c>
      <c r="F80" s="292">
        <f t="shared" si="19"/>
        <v>0</v>
      </c>
      <c r="G80" s="292">
        <f t="shared" si="19"/>
        <v>0</v>
      </c>
      <c r="H80" s="292">
        <f t="shared" si="19"/>
        <v>0</v>
      </c>
      <c r="I80" s="292">
        <f t="shared" si="19"/>
        <v>0</v>
      </c>
      <c r="J80" s="292">
        <f t="shared" si="19"/>
        <v>0</v>
      </c>
      <c r="K80" s="292">
        <f t="shared" si="19"/>
        <v>0</v>
      </c>
      <c r="L80" s="292">
        <f t="shared" si="19"/>
        <v>0</v>
      </c>
      <c r="M80"/>
      <c r="N80"/>
    </row>
    <row r="81" spans="1:14" ht="15.75">
      <c r="A81"/>
      <c r="B81"/>
      <c r="C81"/>
      <c r="D81"/>
      <c r="E81"/>
      <c r="F81"/>
      <c r="G81"/>
      <c r="H81"/>
      <c r="I81"/>
      <c r="J81"/>
      <c r="K81"/>
      <c r="L81"/>
      <c r="M81"/>
      <c r="N81"/>
    </row>
    <row r="82" spans="1:14" ht="15.75">
      <c r="A82"/>
      <c r="B82" t="s">
        <v>400</v>
      </c>
      <c r="C82"/>
      <c r="D82" s="203">
        <f>SUM(D80:L80)</f>
        <v>0</v>
      </c>
      <c r="E82"/>
      <c r="F82"/>
      <c r="G82"/>
      <c r="H82"/>
      <c r="I82"/>
      <c r="J82"/>
      <c r="K82"/>
      <c r="L82"/>
      <c r="M82"/>
      <c r="N82"/>
    </row>
    <row r="83" spans="1:14" ht="15.75">
      <c r="A83"/>
      <c r="B83" t="s">
        <v>402</v>
      </c>
      <c r="C83"/>
      <c r="D83" s="222">
        <f>D27+D49+D71</f>
        <v>0</v>
      </c>
      <c r="E83"/>
      <c r="F83"/>
      <c r="G83"/>
      <c r="H83"/>
      <c r="I83"/>
      <c r="J83"/>
      <c r="K83"/>
      <c r="L83"/>
      <c r="M83"/>
      <c r="N83"/>
    </row>
    <row r="84" spans="1:14" ht="15.75">
      <c r="A84" s="201" t="s">
        <v>378</v>
      </c>
      <c r="B84" t="s">
        <v>406</v>
      </c>
      <c r="C84"/>
      <c r="D84" s="203">
        <f>IF(F7="N",0,D83-D82)</f>
        <v>0</v>
      </c>
      <c r="E84"/>
      <c r="F84"/>
      <c r="G84"/>
      <c r="H84"/>
      <c r="I84"/>
      <c r="J84"/>
      <c r="K84"/>
      <c r="L84"/>
      <c r="M84"/>
      <c r="N84"/>
    </row>
    <row r="85" spans="1:14" ht="15.75">
      <c r="A85"/>
      <c r="B85"/>
      <c r="C85"/>
      <c r="D85"/>
      <c r="E85"/>
      <c r="F85"/>
      <c r="G85"/>
      <c r="H85"/>
      <c r="I85"/>
      <c r="J85"/>
      <c r="K85"/>
      <c r="L85"/>
      <c r="M85"/>
      <c r="N85"/>
    </row>
    <row r="86" spans="1:14" ht="15.75">
      <c r="A86"/>
      <c r="B86"/>
      <c r="C86"/>
      <c r="D86"/>
      <c r="E86"/>
      <c r="F86"/>
      <c r="G86"/>
      <c r="H86"/>
      <c r="I86"/>
      <c r="J86"/>
      <c r="K86"/>
      <c r="L86"/>
      <c r="M86"/>
      <c r="N86"/>
    </row>
    <row r="87" spans="1:14" ht="15.75">
      <c r="A87"/>
      <c r="B87"/>
      <c r="C87"/>
      <c r="D87"/>
      <c r="E87"/>
      <c r="F87"/>
      <c r="G87"/>
      <c r="H87"/>
      <c r="I87"/>
      <c r="J87"/>
      <c r="K87"/>
      <c r="L87"/>
      <c r="M87"/>
      <c r="N87"/>
    </row>
    <row r="88" spans="1:14" ht="15.75">
      <c r="A88"/>
      <c r="B88"/>
      <c r="C88"/>
      <c r="D88"/>
      <c r="E88"/>
      <c r="F88"/>
      <c r="G88" s="568" t="s">
        <v>421</v>
      </c>
      <c r="H88" s="568"/>
      <c r="I88" s="199"/>
      <c r="J88"/>
      <c r="K88"/>
      <c r="L88"/>
      <c r="M88"/>
      <c r="N88"/>
    </row>
    <row r="89" spans="1:14" ht="15.75">
      <c r="A89"/>
      <c r="B89"/>
      <c r="C89"/>
      <c r="D89"/>
      <c r="E89"/>
      <c r="F89"/>
      <c r="G89" s="90"/>
      <c r="H89" s="90" t="s">
        <v>416</v>
      </c>
      <c r="I89"/>
      <c r="J89"/>
      <c r="K89"/>
      <c r="L89"/>
      <c r="M89"/>
      <c r="N89"/>
    </row>
    <row r="90" spans="1:14" ht="15.75">
      <c r="A90"/>
      <c r="B90"/>
      <c r="C90"/>
      <c r="D90"/>
      <c r="E90"/>
      <c r="F90"/>
      <c r="G90" s="91" t="s">
        <v>420</v>
      </c>
      <c r="H90" s="91" t="s">
        <v>417</v>
      </c>
      <c r="I90"/>
      <c r="J90"/>
      <c r="K90"/>
      <c r="L90"/>
      <c r="M90"/>
      <c r="N90"/>
    </row>
    <row r="91" spans="1:14" ht="15.75">
      <c r="A91"/>
      <c r="B91"/>
      <c r="C91"/>
      <c r="D91"/>
      <c r="E91"/>
      <c r="F91"/>
      <c r="G91" s="92" t="s">
        <v>419</v>
      </c>
      <c r="H91" s="92" t="s">
        <v>418</v>
      </c>
      <c r="I91"/>
      <c r="J91"/>
      <c r="K91"/>
      <c r="L91"/>
      <c r="M91"/>
      <c r="N91"/>
    </row>
    <row r="92" spans="1:14" ht="15.75">
      <c r="A92"/>
      <c r="B92"/>
      <c r="C92"/>
      <c r="D92"/>
      <c r="E92"/>
      <c r="F92"/>
      <c r="G92" s="249">
        <v>0.5</v>
      </c>
      <c r="H92" s="250">
        <v>0.67</v>
      </c>
      <c r="I92"/>
      <c r="J92"/>
      <c r="K92"/>
      <c r="L92"/>
      <c r="M92"/>
      <c r="N92"/>
    </row>
    <row r="93" spans="1:14" ht="15.75">
      <c r="A93"/>
      <c r="B93"/>
      <c r="C93"/>
      <c r="D93"/>
      <c r="E93"/>
      <c r="F93"/>
      <c r="G93" s="249">
        <v>0.55</v>
      </c>
      <c r="H93" s="250">
        <v>0.64</v>
      </c>
      <c r="I93"/>
      <c r="J93"/>
      <c r="K93"/>
      <c r="L93"/>
      <c r="M93"/>
      <c r="N93"/>
    </row>
    <row r="94" spans="1:14" ht="15.75">
      <c r="A94"/>
      <c r="B94"/>
      <c r="C94"/>
      <c r="D94"/>
      <c r="E94"/>
      <c r="F94"/>
      <c r="G94" s="249">
        <v>0.6</v>
      </c>
      <c r="H94" s="250">
        <v>0.64</v>
      </c>
      <c r="I94"/>
      <c r="J94"/>
      <c r="K94"/>
      <c r="L94"/>
      <c r="M94"/>
      <c r="N94"/>
    </row>
    <row r="95" spans="1:14" ht="15.75">
      <c r="A95"/>
      <c r="B95"/>
      <c r="C95"/>
      <c r="D95"/>
      <c r="E95"/>
      <c r="F95"/>
      <c r="G95" s="249">
        <v>0.65</v>
      </c>
      <c r="H95" s="250">
        <v>0.59</v>
      </c>
      <c r="I95"/>
      <c r="J95"/>
      <c r="K95"/>
      <c r="L95"/>
      <c r="M95"/>
      <c r="N95"/>
    </row>
    <row r="96" spans="1:14" ht="15.75">
      <c r="A96"/>
      <c r="B96"/>
      <c r="C96"/>
      <c r="D96"/>
      <c r="E96"/>
      <c r="F96"/>
      <c r="G96" s="249">
        <v>0.7</v>
      </c>
      <c r="H96" s="250">
        <v>0.59</v>
      </c>
      <c r="I96"/>
      <c r="J96"/>
      <c r="K96"/>
      <c r="L96"/>
      <c r="M96"/>
      <c r="N96"/>
    </row>
    <row r="97" spans="1:14" ht="15.75">
      <c r="A97"/>
      <c r="B97"/>
      <c r="C97"/>
      <c r="D97"/>
      <c r="E97"/>
      <c r="F97"/>
      <c r="G97" s="249">
        <v>0.75</v>
      </c>
      <c r="H97" s="250">
        <v>0.55</v>
      </c>
      <c r="I97"/>
      <c r="J97"/>
      <c r="K97"/>
      <c r="L97"/>
      <c r="M97"/>
      <c r="N97"/>
    </row>
    <row r="98" spans="1:14" ht="15.75">
      <c r="A98"/>
      <c r="B98"/>
      <c r="C98"/>
      <c r="D98"/>
      <c r="E98"/>
      <c r="F98"/>
      <c r="G98" s="249">
        <v>0.8</v>
      </c>
      <c r="H98" s="250">
        <v>0.48</v>
      </c>
      <c r="I98"/>
      <c r="J98"/>
      <c r="K98"/>
      <c r="L98"/>
      <c r="M98"/>
      <c r="N98"/>
    </row>
    <row r="99" spans="1:14" ht="15.75">
      <c r="A99"/>
      <c r="B99"/>
      <c r="C99"/>
      <c r="D99"/>
      <c r="E99"/>
      <c r="F99"/>
      <c r="G99" s="249">
        <v>0.85</v>
      </c>
      <c r="H99" s="250">
        <v>0.38</v>
      </c>
      <c r="I99"/>
      <c r="J99"/>
      <c r="K99"/>
      <c r="L99"/>
      <c r="M99"/>
      <c r="N99"/>
    </row>
    <row r="100" spans="1:14" ht="15.75">
      <c r="A100"/>
      <c r="B100"/>
      <c r="C100"/>
      <c r="D100"/>
      <c r="E100"/>
      <c r="F100"/>
      <c r="G100"/>
      <c r="H100"/>
      <c r="I100"/>
      <c r="J100"/>
      <c r="K100"/>
      <c r="L100"/>
      <c r="M100"/>
      <c r="N100"/>
    </row>
    <row r="101" spans="1:14" ht="15.75">
      <c r="A101"/>
      <c r="B101"/>
      <c r="C101"/>
      <c r="D101"/>
      <c r="E101"/>
      <c r="F101"/>
      <c r="G101"/>
      <c r="H101"/>
      <c r="I101"/>
      <c r="J101"/>
      <c r="K101"/>
      <c r="L101"/>
      <c r="M101"/>
      <c r="N101"/>
    </row>
    <row r="102" spans="1:14" ht="15.75">
      <c r="A102"/>
      <c r="B102"/>
      <c r="C102"/>
      <c r="D102"/>
      <c r="E102"/>
      <c r="F102"/>
      <c r="G102"/>
      <c r="H102"/>
      <c r="I102"/>
      <c r="J102"/>
      <c r="K102"/>
      <c r="L102"/>
      <c r="M102"/>
      <c r="N102"/>
    </row>
    <row r="103" spans="1:14" ht="15.75">
      <c r="A103"/>
      <c r="B103"/>
      <c r="C103"/>
      <c r="D103"/>
      <c r="E103"/>
      <c r="F103"/>
      <c r="G103"/>
      <c r="H103"/>
      <c r="I103"/>
      <c r="J103"/>
      <c r="K103"/>
      <c r="L103"/>
      <c r="M103"/>
      <c r="N103"/>
    </row>
    <row r="104" spans="1:14" ht="15.75">
      <c r="A104"/>
      <c r="B104"/>
      <c r="C104"/>
      <c r="D104"/>
      <c r="E104"/>
      <c r="F104"/>
      <c r="G104"/>
      <c r="H104"/>
      <c r="I104"/>
      <c r="J104"/>
      <c r="K104"/>
      <c r="L104"/>
      <c r="M104"/>
      <c r="N104"/>
    </row>
    <row r="105" spans="1:14" ht="15.75">
      <c r="A105"/>
      <c r="B105"/>
      <c r="C105"/>
      <c r="D105"/>
      <c r="E105"/>
      <c r="F105"/>
      <c r="G105"/>
      <c r="H105"/>
      <c r="I105"/>
      <c r="J105"/>
      <c r="K105"/>
      <c r="L105"/>
      <c r="M105"/>
      <c r="N105"/>
    </row>
  </sheetData>
  <sheetProtection formatCells="0" formatColumns="0" formatRows="0"/>
  <mergeCells count="8">
    <mergeCell ref="B5:L5"/>
    <mergeCell ref="D9:L9"/>
    <mergeCell ref="G88:H88"/>
    <mergeCell ref="D54:L54"/>
    <mergeCell ref="D8:L8"/>
    <mergeCell ref="D31:L31"/>
    <mergeCell ref="D53:L53"/>
    <mergeCell ref="D32:L32"/>
  </mergeCells>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sheetPr codeName="Sheet3">
    <pageSetUpPr fitToPage="1"/>
  </sheetPr>
  <dimension ref="A1:Z86"/>
  <sheetViews>
    <sheetView showGridLines="0" zoomScale="90" zoomScaleNormal="90" zoomScalePageLayoutView="0" workbookViewId="0" topLeftCell="A4">
      <selection activeCell="B50" sqref="B50"/>
    </sheetView>
  </sheetViews>
  <sheetFormatPr defaultColWidth="9.7109375" defaultRowHeight="12.75"/>
  <cols>
    <col min="1" max="1" width="2.8515625" style="0" customWidth="1"/>
    <col min="2" max="2" width="15.00390625" style="0" customWidth="1"/>
    <col min="3" max="3" width="14.7109375" style="0" customWidth="1"/>
    <col min="4" max="5" width="11.7109375" style="0" customWidth="1"/>
    <col min="6" max="6" width="15.28125" style="0" customWidth="1"/>
    <col min="7" max="7" width="15.421875" style="0" customWidth="1"/>
    <col min="8" max="8" width="11.57421875" style="0" customWidth="1"/>
    <col min="9" max="9" width="12.8515625" style="0" customWidth="1"/>
    <col min="10" max="10" width="2.7109375" style="0" customWidth="1"/>
    <col min="11" max="11" width="13.8515625" style="0" customWidth="1"/>
    <col min="12" max="12" width="10.57421875" style="0" customWidth="1"/>
    <col min="13" max="13" width="10.421875" style="0" customWidth="1"/>
    <col min="14" max="14" width="3.7109375" style="0" customWidth="1"/>
    <col min="15" max="15" width="12.28125" style="0" customWidth="1"/>
    <col min="16" max="16" width="5.421875" style="0" customWidth="1"/>
    <col min="17" max="17" width="12.57421875" style="0" customWidth="1"/>
    <col min="19" max="19" width="5.7109375" style="0" customWidth="1"/>
    <col min="20" max="20" width="12.140625" style="0" customWidth="1"/>
    <col min="21" max="21" width="13.7109375" style="0" customWidth="1"/>
  </cols>
  <sheetData>
    <row r="1" spans="4:13" ht="12.75">
      <c r="D1" s="120" t="s">
        <v>261</v>
      </c>
      <c r="E1" s="127">
        <v>1</v>
      </c>
      <c r="F1" s="55"/>
      <c r="H1" s="120" t="s">
        <v>262</v>
      </c>
      <c r="I1" s="127">
        <v>1</v>
      </c>
      <c r="J1" s="55"/>
      <c r="L1" s="120" t="s">
        <v>251</v>
      </c>
      <c r="M1" s="127">
        <v>1</v>
      </c>
    </row>
    <row r="2" spans="1:26" ht="12.75">
      <c r="A2" s="55"/>
      <c r="B2" s="55"/>
      <c r="D2" s="82" t="s">
        <v>267</v>
      </c>
      <c r="E2" s="127">
        <v>1</v>
      </c>
      <c r="H2" s="82" t="s">
        <v>268</v>
      </c>
      <c r="I2" s="127">
        <v>1</v>
      </c>
      <c r="M2" s="55"/>
      <c r="N2" s="55"/>
      <c r="O2" s="55"/>
      <c r="P2" s="55"/>
      <c r="Q2" s="55"/>
      <c r="R2" s="55"/>
      <c r="S2" s="55"/>
      <c r="T2" s="55"/>
      <c r="U2" s="55"/>
      <c r="V2" s="55"/>
      <c r="W2" s="55"/>
      <c r="X2" s="55"/>
      <c r="Y2" s="55"/>
      <c r="Z2" s="55"/>
    </row>
    <row r="3" spans="1:26" ht="8.25" customHeight="1">
      <c r="A3" s="55"/>
      <c r="B3" s="121"/>
      <c r="C3" s="85"/>
      <c r="D3" s="85"/>
      <c r="E3" s="85"/>
      <c r="F3" s="85"/>
      <c r="G3" s="85"/>
      <c r="H3" s="55"/>
      <c r="I3" s="55"/>
      <c r="J3" s="55"/>
      <c r="K3" s="55"/>
      <c r="L3" s="55"/>
      <c r="M3" s="55"/>
      <c r="N3" s="55"/>
      <c r="O3" s="55"/>
      <c r="P3" s="55"/>
      <c r="Q3" s="55"/>
      <c r="R3" s="55"/>
      <c r="S3" s="55"/>
      <c r="T3" s="55"/>
      <c r="U3" s="55"/>
      <c r="V3" s="55"/>
      <c r="W3" s="55"/>
      <c r="X3" s="55"/>
      <c r="Y3" s="55"/>
      <c r="Z3" s="55"/>
    </row>
    <row r="4" spans="1:26" ht="12.75">
      <c r="A4" s="55"/>
      <c r="B4" s="56"/>
      <c r="C4" s="56"/>
      <c r="D4" s="588" t="s">
        <v>122</v>
      </c>
      <c r="E4" s="588"/>
      <c r="F4" s="56"/>
      <c r="G4" s="56"/>
      <c r="H4" s="588" t="s">
        <v>123</v>
      </c>
      <c r="I4" s="588"/>
      <c r="J4" s="56"/>
      <c r="K4" s="56"/>
      <c r="L4" s="55"/>
      <c r="M4" s="55"/>
      <c r="N4" s="56"/>
      <c r="O4" s="56"/>
      <c r="P4" s="85"/>
      <c r="Q4" s="85"/>
      <c r="R4" s="85"/>
      <c r="S4" s="85"/>
      <c r="T4" s="85"/>
      <c r="U4" s="85"/>
      <c r="V4" s="55"/>
      <c r="W4" s="55"/>
      <c r="X4" s="55"/>
      <c r="Y4" s="55"/>
      <c r="Z4" s="55"/>
    </row>
    <row r="5" spans="1:26" ht="12.75">
      <c r="A5" s="55"/>
      <c r="B5" s="440" t="s">
        <v>3</v>
      </c>
      <c r="C5" s="389"/>
      <c r="D5" s="390" t="s">
        <v>58</v>
      </c>
      <c r="E5" s="390" t="s">
        <v>59</v>
      </c>
      <c r="F5" s="391"/>
      <c r="G5" s="391"/>
      <c r="H5" s="390" t="s">
        <v>58</v>
      </c>
      <c r="I5" s="390" t="s">
        <v>59</v>
      </c>
      <c r="J5" s="392"/>
      <c r="K5" s="440" t="s">
        <v>239</v>
      </c>
      <c r="L5" s="389"/>
      <c r="M5" s="389"/>
      <c r="N5" s="389"/>
      <c r="O5" s="393" t="s">
        <v>238</v>
      </c>
      <c r="P5" s="85"/>
      <c r="Q5" s="55"/>
      <c r="R5" s="121"/>
      <c r="S5" s="121"/>
      <c r="T5" s="121"/>
      <c r="U5" s="85"/>
      <c r="V5" s="55"/>
      <c r="W5" s="55"/>
      <c r="X5" s="55"/>
      <c r="Y5" s="55"/>
      <c r="Z5" s="55"/>
    </row>
    <row r="6" spans="1:26" ht="12.75">
      <c r="A6" s="55"/>
      <c r="B6" s="575" t="s">
        <v>4</v>
      </c>
      <c r="C6" s="576"/>
      <c r="D6" s="394">
        <v>1500</v>
      </c>
      <c r="E6" s="395">
        <f>IF(I35&gt;=0,I35,0)</f>
        <v>7591.4545962843695</v>
      </c>
      <c r="F6" s="576" t="s">
        <v>309</v>
      </c>
      <c r="G6" s="576"/>
      <c r="H6" s="394">
        <v>2000</v>
      </c>
      <c r="I6" s="394">
        <v>2000</v>
      </c>
      <c r="J6" s="396"/>
      <c r="K6" s="575" t="s">
        <v>166</v>
      </c>
      <c r="L6" s="576"/>
      <c r="M6" s="576"/>
      <c r="N6" s="576"/>
      <c r="O6" s="397">
        <f>SUM(E22:E25)-Income!$K$30</f>
        <v>358424.31645</v>
      </c>
      <c r="P6" s="85"/>
      <c r="Q6" s="122"/>
      <c r="R6" s="121"/>
      <c r="S6" s="121"/>
      <c r="T6" s="121"/>
      <c r="U6" s="85"/>
      <c r="V6" s="55"/>
      <c r="W6" s="55"/>
      <c r="X6" s="55"/>
      <c r="Y6" s="55"/>
      <c r="Z6" s="55"/>
    </row>
    <row r="7" spans="1:26" ht="12.75">
      <c r="A7" s="55"/>
      <c r="B7" s="572" t="s">
        <v>304</v>
      </c>
      <c r="C7" s="573"/>
      <c r="D7" s="399">
        <v>8400</v>
      </c>
      <c r="E7" s="399">
        <v>8400</v>
      </c>
      <c r="F7" s="578" t="s">
        <v>316</v>
      </c>
      <c r="G7" s="578"/>
      <c r="H7" s="400">
        <f>AssetLiability!$J$20</f>
        <v>12539.500790295042</v>
      </c>
      <c r="I7" s="400">
        <f>AssetLiability!$L$20+AssetLiability!$J$32</f>
        <v>11888.605311826994</v>
      </c>
      <c r="J7" s="396"/>
      <c r="K7" s="572" t="s">
        <v>6</v>
      </c>
      <c r="L7" s="573"/>
      <c r="M7" s="573"/>
      <c r="N7" s="573"/>
      <c r="O7" s="401">
        <f>SUM(E8:E10)-SUM(D8:D10)</f>
        <v>0</v>
      </c>
      <c r="P7" s="86"/>
      <c r="Q7" s="85"/>
      <c r="R7" s="579" t="s">
        <v>288</v>
      </c>
      <c r="S7" s="580"/>
      <c r="T7" s="580"/>
      <c r="U7" s="580"/>
      <c r="V7" s="580"/>
      <c r="W7" s="581"/>
      <c r="X7" s="55"/>
      <c r="Y7" s="55"/>
      <c r="Z7" s="55"/>
    </row>
    <row r="8" spans="1:26" ht="12.75">
      <c r="A8" s="55"/>
      <c r="B8" s="590" t="s">
        <v>305</v>
      </c>
      <c r="C8" s="591"/>
      <c r="D8" s="399">
        <v>200000</v>
      </c>
      <c r="E8" s="399">
        <v>200000</v>
      </c>
      <c r="F8" s="578" t="s">
        <v>270</v>
      </c>
      <c r="G8" s="578"/>
      <c r="H8" s="400">
        <f>AssetLiability!$I$20</f>
        <v>11908.441720295607</v>
      </c>
      <c r="I8" s="400">
        <f>AssetLiability!$K$20+AssetLiability!$I$32</f>
        <v>12559.337198763653</v>
      </c>
      <c r="J8" s="396"/>
      <c r="K8" s="570" t="s">
        <v>302</v>
      </c>
      <c r="L8" s="571"/>
      <c r="M8" s="571"/>
      <c r="N8" s="571"/>
      <c r="O8" s="401">
        <f>Income!$L$24+Income!$L$26+Income!$L$28</f>
        <v>0</v>
      </c>
      <c r="P8" s="55"/>
      <c r="Q8" s="55"/>
      <c r="R8" s="41"/>
      <c r="S8" s="55"/>
      <c r="T8" s="55"/>
      <c r="U8" s="55"/>
      <c r="V8" s="55"/>
      <c r="W8" s="123"/>
      <c r="X8" s="55"/>
      <c r="Y8" s="55"/>
      <c r="Z8" s="55"/>
    </row>
    <row r="9" spans="1:26" ht="12.75">
      <c r="A9" s="55"/>
      <c r="B9" s="572" t="s">
        <v>306</v>
      </c>
      <c r="C9" s="573"/>
      <c r="D9" s="399">
        <v>0</v>
      </c>
      <c r="E9" s="399">
        <v>0</v>
      </c>
      <c r="F9" s="578" t="s">
        <v>310</v>
      </c>
      <c r="G9" s="578"/>
      <c r="H9" s="399">
        <v>10000</v>
      </c>
      <c r="I9" s="399">
        <v>10000</v>
      </c>
      <c r="J9" s="396"/>
      <c r="K9" s="582" t="s">
        <v>321</v>
      </c>
      <c r="L9" s="583"/>
      <c r="M9" s="583"/>
      <c r="N9" s="583"/>
      <c r="O9" s="404">
        <f>Income!M30</f>
        <v>0</v>
      </c>
      <c r="P9" s="55"/>
      <c r="Q9" s="55"/>
      <c r="R9" s="55" t="s">
        <v>289</v>
      </c>
      <c r="S9" s="55"/>
      <c r="T9" s="55"/>
      <c r="U9" s="55"/>
      <c r="V9" s="55"/>
      <c r="W9" s="124" t="s">
        <v>369</v>
      </c>
      <c r="X9" s="55"/>
      <c r="Y9" s="55"/>
      <c r="Z9" s="55"/>
    </row>
    <row r="10" spans="1:26" ht="12.75">
      <c r="A10" s="55"/>
      <c r="B10" s="572" t="s">
        <v>308</v>
      </c>
      <c r="C10" s="573"/>
      <c r="D10" s="399">
        <v>15000</v>
      </c>
      <c r="E10" s="399">
        <v>15000</v>
      </c>
      <c r="F10" s="578" t="s">
        <v>314</v>
      </c>
      <c r="G10" s="578"/>
      <c r="H10" s="399">
        <v>0</v>
      </c>
      <c r="I10" s="399">
        <v>0</v>
      </c>
      <c r="J10" s="396"/>
      <c r="K10" s="405"/>
      <c r="L10" s="592" t="s">
        <v>7</v>
      </c>
      <c r="M10" s="592"/>
      <c r="N10" s="592"/>
      <c r="O10" s="406">
        <f>SUM(O6:O9)</f>
        <v>358424.31645</v>
      </c>
      <c r="P10" s="55"/>
      <c r="Q10" s="55"/>
      <c r="R10" s="55"/>
      <c r="S10" s="55"/>
      <c r="T10" s="55"/>
      <c r="U10" s="55"/>
      <c r="V10" s="55"/>
      <c r="W10" s="55"/>
      <c r="X10" s="55"/>
      <c r="Y10" s="55"/>
      <c r="Z10" s="55"/>
    </row>
    <row r="11" spans="1:26" ht="12.75">
      <c r="A11" s="55"/>
      <c r="B11" s="572" t="s">
        <v>307</v>
      </c>
      <c r="C11" s="573"/>
      <c r="D11" s="399">
        <v>0</v>
      </c>
      <c r="E11" s="399">
        <v>0</v>
      </c>
      <c r="F11" s="595" t="s">
        <v>593</v>
      </c>
      <c r="G11" s="595"/>
      <c r="H11" s="399">
        <v>0</v>
      </c>
      <c r="I11" s="399">
        <v>0</v>
      </c>
      <c r="J11" s="396"/>
      <c r="K11" s="405"/>
      <c r="L11" s="392"/>
      <c r="M11" s="392"/>
      <c r="N11" s="392"/>
      <c r="O11" s="407" t="s">
        <v>240</v>
      </c>
      <c r="P11" s="1"/>
      <c r="Q11" s="55"/>
      <c r="R11" s="41" t="s">
        <v>5</v>
      </c>
      <c r="S11" s="55"/>
      <c r="T11" s="55"/>
      <c r="U11" s="55"/>
      <c r="V11" s="55"/>
      <c r="W11" s="2">
        <f>O6</f>
        <v>358424.31645</v>
      </c>
      <c r="X11" s="55"/>
      <c r="Y11" s="55"/>
      <c r="Z11" s="55"/>
    </row>
    <row r="12" spans="1:26" ht="12.75">
      <c r="A12" s="55"/>
      <c r="B12" s="572" t="s">
        <v>271</v>
      </c>
      <c r="C12" s="573"/>
      <c r="D12" s="399">
        <v>10000</v>
      </c>
      <c r="E12" s="399">
        <v>10000</v>
      </c>
      <c r="F12" s="578" t="s">
        <v>313</v>
      </c>
      <c r="G12" s="578"/>
      <c r="H12" s="399">
        <v>0</v>
      </c>
      <c r="I12" s="399">
        <v>0</v>
      </c>
      <c r="J12" s="396"/>
      <c r="K12" s="572" t="s">
        <v>11</v>
      </c>
      <c r="L12" s="573"/>
      <c r="M12" s="573"/>
      <c r="N12" s="573"/>
      <c r="O12" s="400">
        <f>I22+I23</f>
        <v>278019.57675</v>
      </c>
      <c r="P12" s="55"/>
      <c r="Q12" s="55"/>
      <c r="R12" s="41" t="s">
        <v>8</v>
      </c>
      <c r="S12" s="55"/>
      <c r="T12" s="55"/>
      <c r="U12" s="55"/>
      <c r="V12" s="55"/>
      <c r="W12" s="2">
        <f>O12</f>
        <v>278019.57675</v>
      </c>
      <c r="X12" s="55"/>
      <c r="Y12" s="55"/>
      <c r="Z12" s="55"/>
    </row>
    <row r="13" spans="1:26" ht="12.75">
      <c r="A13" s="55"/>
      <c r="B13" s="572" t="s">
        <v>10</v>
      </c>
      <c r="C13" s="573"/>
      <c r="D13" s="400">
        <f>SUM(D6:D12)</f>
        <v>234900</v>
      </c>
      <c r="E13" s="400">
        <f>SUM(E6:E12)</f>
        <v>240991.45459628437</v>
      </c>
      <c r="F13" s="573" t="s">
        <v>197</v>
      </c>
      <c r="G13" s="573"/>
      <c r="H13" s="399">
        <v>0</v>
      </c>
      <c r="I13" s="400">
        <f>IF(I33&lt;E26+H13,H13+E26-I33,0)-IF(I35&lt;0,I35,0)</f>
        <v>0</v>
      </c>
      <c r="J13" s="396"/>
      <c r="K13" s="572" t="s">
        <v>121</v>
      </c>
      <c r="L13" s="573"/>
      <c r="M13" s="573"/>
      <c r="N13" s="573"/>
      <c r="O13" s="400">
        <f>D7-E7</f>
        <v>0</v>
      </c>
      <c r="P13" s="41"/>
      <c r="Q13" s="55"/>
      <c r="R13" s="41" t="s">
        <v>9</v>
      </c>
      <c r="S13" s="55"/>
      <c r="T13" s="55"/>
      <c r="U13" s="55"/>
      <c r="V13" s="55"/>
      <c r="W13" s="2">
        <f>O15</f>
        <v>34500</v>
      </c>
      <c r="X13" s="55"/>
      <c r="Y13" s="55"/>
      <c r="Z13" s="55"/>
    </row>
    <row r="14" spans="1:26" ht="12.75">
      <c r="A14" s="55"/>
      <c r="B14" s="589" t="s">
        <v>13</v>
      </c>
      <c r="C14" s="587"/>
      <c r="D14" s="409"/>
      <c r="E14" s="409"/>
      <c r="F14" s="587" t="s">
        <v>17</v>
      </c>
      <c r="G14" s="587"/>
      <c r="H14" s="410">
        <f>SUM(H6:H13)</f>
        <v>36447.94251059065</v>
      </c>
      <c r="I14" s="410">
        <f>SUM(I6:I13)</f>
        <v>36447.94251059065</v>
      </c>
      <c r="J14" s="396"/>
      <c r="K14" s="572" t="s">
        <v>14</v>
      </c>
      <c r="L14" s="573"/>
      <c r="M14" s="573"/>
      <c r="N14" s="573"/>
      <c r="O14" s="401">
        <f>(D11-E11)+(D12-E12)+(I6-H6)+(I9-H9)+(I10-H10)</f>
        <v>0</v>
      </c>
      <c r="P14" s="55"/>
      <c r="Q14" s="55"/>
      <c r="R14" s="41" t="s">
        <v>12</v>
      </c>
      <c r="S14" s="55"/>
      <c r="T14" s="55"/>
      <c r="U14" s="55"/>
      <c r="V14" s="55"/>
      <c r="W14" s="2">
        <f>O17+O18</f>
        <v>17404.84338342004</v>
      </c>
      <c r="X14" s="55"/>
      <c r="Y14" s="55"/>
      <c r="Z14" s="55"/>
    </row>
    <row r="15" spans="1:26" ht="12.75">
      <c r="A15" s="55"/>
      <c r="B15" s="572" t="s">
        <v>16</v>
      </c>
      <c r="C15" s="573"/>
      <c r="D15" s="400">
        <f>AssetLiability!$D$17</f>
        <v>325000</v>
      </c>
      <c r="E15" s="400">
        <f>AssetLiability!$D$17-AssetLiability!$E$17+AssetLiability!$F$17+AssetLiability!$D$29-AssetLiability!$E$29+AssetLiability!$F$29</f>
        <v>292500</v>
      </c>
      <c r="F15" s="589" t="s">
        <v>195</v>
      </c>
      <c r="G15" s="587"/>
      <c r="H15" s="409"/>
      <c r="I15" s="409"/>
      <c r="J15" s="391"/>
      <c r="K15" s="582" t="s">
        <v>182</v>
      </c>
      <c r="L15" s="583"/>
      <c r="M15" s="583"/>
      <c r="N15" s="583"/>
      <c r="O15" s="411">
        <f>AssetLiability!$E$20+AssetLiability!$E$32</f>
        <v>34500</v>
      </c>
      <c r="P15" s="55"/>
      <c r="Q15" s="55"/>
      <c r="R15" s="41" t="s">
        <v>15</v>
      </c>
      <c r="S15" s="55"/>
      <c r="T15" s="55"/>
      <c r="U15" s="55"/>
      <c r="V15" s="55"/>
      <c r="W15" s="2">
        <f>W11-W12-W13-W14</f>
        <v>28499.896316579936</v>
      </c>
      <c r="X15" s="55"/>
      <c r="Y15" s="55"/>
      <c r="Z15" s="55"/>
    </row>
    <row r="16" spans="1:26" ht="12.75">
      <c r="A16" s="55"/>
      <c r="B16" s="572" t="s">
        <v>19</v>
      </c>
      <c r="C16" s="573"/>
      <c r="D16" s="400">
        <f>AssetLiability!$D$19</f>
        <v>0</v>
      </c>
      <c r="E16" s="400">
        <f>AssetLiability!$D$19-AssetLiability!$E$19+AssetLiability!$F$19+$I$27-AssetLiability!$E$31+AssetLiability!$F$31</f>
        <v>0</v>
      </c>
      <c r="F16" s="573" t="s">
        <v>194</v>
      </c>
      <c r="G16" s="573"/>
      <c r="H16" s="400">
        <f>VLOOKUP(AssetLiability!$H$9,AssetLiability!$P$8:$AE$14,16)+VLOOKUP(AssetLiability!I9,AssetLiability!P8:S37,4)</f>
        <v>255399.0711130647</v>
      </c>
      <c r="I16" s="400">
        <f>VLOOKUP(AssetLiability!$H$9+1,AssetLiability!$P$8:$AE$14,16)+VLOOKUP(AssetLiability!I9+1,AssetLiability!P8:S37,4)+AssetLiability!H32-AssetLiability!$I$32</f>
        <v>242839.73391430103</v>
      </c>
      <c r="J16" s="391"/>
      <c r="K16" s="405"/>
      <c r="L16" s="593" t="s">
        <v>20</v>
      </c>
      <c r="M16" s="593"/>
      <c r="N16" s="593"/>
      <c r="O16" s="400">
        <f>SUM(O12:O15)</f>
        <v>312519.57675</v>
      </c>
      <c r="P16" s="55"/>
      <c r="Q16" s="55"/>
      <c r="R16" s="41" t="s">
        <v>286</v>
      </c>
      <c r="S16" s="55"/>
      <c r="T16" s="55"/>
      <c r="U16" s="55"/>
      <c r="V16" s="55"/>
      <c r="W16" s="125">
        <v>6000</v>
      </c>
      <c r="X16" s="55"/>
      <c r="Y16" s="55"/>
      <c r="Z16" s="55"/>
    </row>
    <row r="17" spans="1:26" ht="12.75">
      <c r="A17" s="55"/>
      <c r="B17" s="582" t="s">
        <v>246</v>
      </c>
      <c r="C17" s="583"/>
      <c r="D17" s="411">
        <f>AssetLiability!$D$16+AssetLiability!$D$18</f>
        <v>1040000</v>
      </c>
      <c r="E17" s="411">
        <f>AssetLiability!$D$16-AssetLiability!$E$16+AssetLiability!$F$16+AssetLiability!$D$18-AssetLiability!$E$18+AssetLiability!$F$18+AssetLiability!$D$30-AssetLiability!$E$30+AssetLiability!$F$30</f>
        <v>1038000</v>
      </c>
      <c r="F17" s="583" t="s">
        <v>26</v>
      </c>
      <c r="G17" s="583"/>
      <c r="H17" s="411">
        <f>SUM(H14:H16)</f>
        <v>291847.01362365537</v>
      </c>
      <c r="I17" s="411">
        <f>SUM(I14:I16)</f>
        <v>279287.6764248917</v>
      </c>
      <c r="J17" s="412"/>
      <c r="K17" s="572" t="s">
        <v>23</v>
      </c>
      <c r="L17" s="573"/>
      <c r="M17" s="573"/>
      <c r="N17" s="573"/>
      <c r="O17" s="400">
        <f>I24</f>
        <v>12539.500790295042</v>
      </c>
      <c r="P17" s="55"/>
      <c r="Q17" s="55"/>
      <c r="R17" s="55"/>
      <c r="S17" s="55"/>
      <c r="T17" s="55"/>
      <c r="U17" s="55"/>
      <c r="V17" s="120" t="s">
        <v>287</v>
      </c>
      <c r="W17" s="2">
        <f>W15-W16</f>
        <v>22499.896316579936</v>
      </c>
      <c r="X17" s="55"/>
      <c r="Y17" s="55"/>
      <c r="Z17" s="55"/>
    </row>
    <row r="18" spans="1:26" ht="12.75">
      <c r="A18" s="55"/>
      <c r="B18" s="605" t="s">
        <v>25</v>
      </c>
      <c r="C18" s="594"/>
      <c r="D18" s="414">
        <f>SUM(D13:D17)</f>
        <v>1599900</v>
      </c>
      <c r="E18" s="414">
        <f>SUM(E13:E17)</f>
        <v>1571491.4545962843</v>
      </c>
      <c r="F18" s="594" t="s">
        <v>28</v>
      </c>
      <c r="G18" s="594"/>
      <c r="H18" s="411">
        <f>D18-H17</f>
        <v>1308052.9863763447</v>
      </c>
      <c r="I18" s="411">
        <f>E18-I17</f>
        <v>1292203.7781713926</v>
      </c>
      <c r="J18" s="412"/>
      <c r="K18" s="572" t="s">
        <v>24</v>
      </c>
      <c r="L18" s="573"/>
      <c r="M18" s="573"/>
      <c r="N18" s="573"/>
      <c r="O18" s="400">
        <f>I25</f>
        <v>4865.342593125</v>
      </c>
      <c r="P18" s="41"/>
      <c r="Q18" s="55"/>
      <c r="R18" s="41" t="s">
        <v>18</v>
      </c>
      <c r="S18" s="55"/>
      <c r="T18" s="55"/>
      <c r="U18" s="55"/>
      <c r="V18" s="55"/>
      <c r="W18" s="126">
        <v>0.21</v>
      </c>
      <c r="X18" s="55"/>
      <c r="Y18" s="55"/>
      <c r="Z18" s="55"/>
    </row>
    <row r="19" spans="1:26" ht="12.75">
      <c r="A19" s="55"/>
      <c r="B19" s="415"/>
      <c r="C19" s="415"/>
      <c r="D19" s="415"/>
      <c r="E19" s="415"/>
      <c r="F19" s="416"/>
      <c r="G19" s="417"/>
      <c r="H19" s="418" t="s">
        <v>202</v>
      </c>
      <c r="I19" s="411">
        <f>I18-H18</f>
        <v>-15849.208204952069</v>
      </c>
      <c r="J19" s="412"/>
      <c r="K19" s="582" t="s">
        <v>27</v>
      </c>
      <c r="L19" s="583"/>
      <c r="M19" s="583"/>
      <c r="N19" s="583"/>
      <c r="O19" s="404">
        <f>I7-H7</f>
        <v>-650.8954784680482</v>
      </c>
      <c r="P19" s="55"/>
      <c r="Q19" s="55"/>
      <c r="R19" s="41" t="s">
        <v>21</v>
      </c>
      <c r="S19" s="55"/>
      <c r="T19" s="55"/>
      <c r="U19" s="55"/>
      <c r="V19" s="55"/>
      <c r="W19" s="2">
        <f>IF(W17&lt;0,0,W17*W18)</f>
        <v>4724.978226481787</v>
      </c>
      <c r="X19" s="55"/>
      <c r="Y19" s="55"/>
      <c r="Z19" s="55"/>
    </row>
    <row r="20" spans="1:26" ht="12.75">
      <c r="A20" s="55"/>
      <c r="B20" s="415"/>
      <c r="C20" s="415"/>
      <c r="D20" s="415"/>
      <c r="E20" s="415"/>
      <c r="F20" s="416"/>
      <c r="G20" s="417"/>
      <c r="H20" s="419"/>
      <c r="I20" s="415"/>
      <c r="J20" s="412"/>
      <c r="K20" s="405"/>
      <c r="L20" s="592" t="s">
        <v>29</v>
      </c>
      <c r="M20" s="592"/>
      <c r="N20" s="592"/>
      <c r="O20" s="406">
        <f>SUM(O16:O19)</f>
        <v>329273.524654952</v>
      </c>
      <c r="P20" s="55"/>
      <c r="Q20" s="55"/>
      <c r="R20" s="55"/>
      <c r="S20" s="55"/>
      <c r="T20" s="55"/>
      <c r="U20" s="55"/>
      <c r="V20" s="55"/>
      <c r="W20" s="55"/>
      <c r="X20" s="55"/>
      <c r="Y20" s="55"/>
      <c r="Z20" s="55"/>
    </row>
    <row r="21" spans="1:26" ht="12.75">
      <c r="A21" s="55"/>
      <c r="B21" s="440" t="s">
        <v>30</v>
      </c>
      <c r="C21" s="389"/>
      <c r="D21" s="389"/>
      <c r="E21" s="393" t="s">
        <v>236</v>
      </c>
      <c r="F21" s="419"/>
      <c r="G21" s="419"/>
      <c r="H21" s="419"/>
      <c r="I21" s="393" t="s">
        <v>237</v>
      </c>
      <c r="J21" s="391"/>
      <c r="K21" s="405"/>
      <c r="L21" s="392"/>
      <c r="M21" s="392"/>
      <c r="N21" s="392"/>
      <c r="O21" s="420"/>
      <c r="P21" s="55"/>
      <c r="Q21" s="55"/>
      <c r="R21" s="55"/>
      <c r="S21" s="55"/>
      <c r="T21" s="55"/>
      <c r="U21" s="55"/>
      <c r="V21" s="55"/>
      <c r="W21" s="55"/>
      <c r="X21" s="55"/>
      <c r="Y21" s="55"/>
      <c r="Z21" s="55"/>
    </row>
    <row r="22" spans="1:26" ht="12.75">
      <c r="A22" s="55"/>
      <c r="B22" s="575" t="s">
        <v>407</v>
      </c>
      <c r="C22" s="576"/>
      <c r="D22" s="577"/>
      <c r="E22" s="421">
        <f>Income!$D$17*E1+Insurance!$D$84</f>
        <v>319919.625</v>
      </c>
      <c r="F22" s="575" t="s">
        <v>31</v>
      </c>
      <c r="G22" s="584"/>
      <c r="H22" s="447" t="s">
        <v>370</v>
      </c>
      <c r="I22" s="395">
        <f>Expenses!$D$12*E2+Expenses!$D$20*I2+(Expenses!$E$24-Expenses!$E$21)</f>
        <v>278019.57675</v>
      </c>
      <c r="J22" s="391"/>
      <c r="K22" s="572" t="s">
        <v>32</v>
      </c>
      <c r="L22" s="573"/>
      <c r="M22" s="573"/>
      <c r="N22" s="573"/>
      <c r="O22" s="400">
        <f>O10-O20</f>
        <v>29150.79179504799</v>
      </c>
      <c r="P22" s="55"/>
      <c r="Q22" s="55"/>
      <c r="R22" s="55"/>
      <c r="S22" s="55"/>
      <c r="T22" s="55"/>
      <c r="U22" s="55"/>
      <c r="V22" s="55"/>
      <c r="W22" s="55"/>
      <c r="X22" s="55"/>
      <c r="Y22" s="55"/>
      <c r="Z22" s="55"/>
    </row>
    <row r="23" spans="1:26" ht="12.75">
      <c r="A23" s="55"/>
      <c r="B23" s="572" t="s">
        <v>159</v>
      </c>
      <c r="C23" s="573"/>
      <c r="D23" s="574"/>
      <c r="E23" s="422">
        <f>Income!$D$36*I1</f>
        <v>0</v>
      </c>
      <c r="F23" s="572" t="s">
        <v>33</v>
      </c>
      <c r="G23" s="573"/>
      <c r="H23" s="573"/>
      <c r="I23" s="423">
        <v>0</v>
      </c>
      <c r="J23" s="391"/>
      <c r="K23" s="572" t="s">
        <v>36</v>
      </c>
      <c r="L23" s="573"/>
      <c r="M23" s="573"/>
      <c r="N23" s="403"/>
      <c r="O23" s="400">
        <f>SUM(O22:O22)</f>
        <v>29150.79179504799</v>
      </c>
      <c r="P23" s="55"/>
      <c r="Q23" s="55"/>
      <c r="R23" s="55"/>
      <c r="S23" s="55"/>
      <c r="T23" s="55"/>
      <c r="U23" s="55"/>
      <c r="V23" s="55"/>
      <c r="W23" s="55"/>
      <c r="X23" s="55"/>
      <c r="Y23" s="55"/>
      <c r="Z23" s="55"/>
    </row>
    <row r="24" spans="1:26" ht="12.75">
      <c r="A24" s="55"/>
      <c r="B24" s="572" t="s">
        <v>34</v>
      </c>
      <c r="C24" s="573"/>
      <c r="D24" s="574"/>
      <c r="E24" s="422">
        <f>Income!$M$51*M1</f>
        <v>38504.691450000006</v>
      </c>
      <c r="F24" s="572" t="s">
        <v>35</v>
      </c>
      <c r="G24" s="573"/>
      <c r="H24" s="573"/>
      <c r="I24" s="400">
        <f>H7</f>
        <v>12539.500790295042</v>
      </c>
      <c r="J24" s="391"/>
      <c r="K24" s="572" t="s">
        <v>38</v>
      </c>
      <c r="L24" s="573"/>
      <c r="M24" s="573"/>
      <c r="N24" s="573"/>
      <c r="O24" s="401">
        <f>I30+(I12-H12)</f>
        <v>0</v>
      </c>
      <c r="P24" s="41"/>
      <c r="Q24" s="55"/>
      <c r="R24" s="56" t="s">
        <v>572</v>
      </c>
      <c r="S24" s="55"/>
      <c r="T24" s="55"/>
      <c r="U24" s="55"/>
      <c r="V24" s="55"/>
      <c r="W24" s="55"/>
      <c r="X24" s="55"/>
      <c r="Y24" s="55"/>
      <c r="Z24" s="55"/>
    </row>
    <row r="25" spans="1:26" ht="12.75">
      <c r="A25" s="55"/>
      <c r="B25" s="572" t="s">
        <v>37</v>
      </c>
      <c r="C25" s="573"/>
      <c r="D25" s="574"/>
      <c r="E25" s="424">
        <v>0</v>
      </c>
      <c r="F25" s="572" t="s">
        <v>24</v>
      </c>
      <c r="G25" s="573"/>
      <c r="H25" s="425">
        <f>AssetLiability!$H$8</f>
        <v>0.07</v>
      </c>
      <c r="I25" s="400">
        <f>(E26*0.5)*H25</f>
        <v>4865.342593125</v>
      </c>
      <c r="J25" s="412"/>
      <c r="K25" s="582" t="s">
        <v>120</v>
      </c>
      <c r="L25" s="583"/>
      <c r="M25" s="583"/>
      <c r="N25" s="583"/>
      <c r="O25" s="426">
        <f>O23-O24</f>
        <v>29150.79179504799</v>
      </c>
      <c r="P25" s="55"/>
      <c r="Q25" s="55"/>
      <c r="R25" t="s">
        <v>575</v>
      </c>
      <c r="S25" s="55"/>
      <c r="U25" s="198">
        <f>O17</f>
        <v>12539.500790295042</v>
      </c>
      <c r="V25" s="55"/>
      <c r="W25" s="55"/>
      <c r="X25" s="55"/>
      <c r="Y25" s="55"/>
      <c r="Z25" s="55"/>
    </row>
    <row r="26" spans="1:26" ht="12.75">
      <c r="A26" s="55"/>
      <c r="B26" s="572" t="s">
        <v>39</v>
      </c>
      <c r="C26" s="573"/>
      <c r="D26" s="427">
        <v>0.5</v>
      </c>
      <c r="E26" s="422">
        <f>Expenses!$E$24*D26</f>
        <v>139009.788375</v>
      </c>
      <c r="F26" s="572" t="s">
        <v>193</v>
      </c>
      <c r="G26" s="573"/>
      <c r="H26" s="573"/>
      <c r="I26" s="400">
        <f>H8</f>
        <v>11908.441720295607</v>
      </c>
      <c r="J26" s="412"/>
      <c r="K26" s="419"/>
      <c r="L26" s="419"/>
      <c r="M26" s="419"/>
      <c r="N26" s="419"/>
      <c r="O26" s="419"/>
      <c r="P26" s="55"/>
      <c r="Q26" s="55"/>
      <c r="R26" t="s">
        <v>573</v>
      </c>
      <c r="S26" s="55"/>
      <c r="U26" s="198">
        <f>O18</f>
        <v>4865.342593125</v>
      </c>
      <c r="V26" s="55"/>
      <c r="W26" s="55"/>
      <c r="X26" s="55"/>
      <c r="Y26" s="55"/>
      <c r="Z26" s="55"/>
    </row>
    <row r="27" spans="1:26" ht="12.75">
      <c r="A27" s="55"/>
      <c r="B27" s="572" t="s">
        <v>234</v>
      </c>
      <c r="C27" s="573"/>
      <c r="D27" s="574"/>
      <c r="E27" s="422">
        <f>AssetLiability!$H$32</f>
        <v>0</v>
      </c>
      <c r="F27" s="572" t="s">
        <v>222</v>
      </c>
      <c r="G27" s="573"/>
      <c r="H27" s="573"/>
      <c r="I27" s="400">
        <f>Income!$D$30/IF(Income!$D$27=0,1,Income!$D$27)/3*Income!$D$28+Income!$E$30/IF(Income!$E$27=0,1,Income!$E$27)/3*Income!$E$28+Income!$F$30/IF(Income!$F$27=0,1,Income!$F$27)/3*Income!$F$28+AssetLiability!$D$31</f>
        <v>0</v>
      </c>
      <c r="J27" s="412"/>
      <c r="K27" s="440" t="s">
        <v>40</v>
      </c>
      <c r="L27" s="389"/>
      <c r="M27" s="389"/>
      <c r="N27" s="412"/>
      <c r="O27" s="419"/>
      <c r="P27" s="55"/>
      <c r="Q27" s="55"/>
      <c r="R27" t="s">
        <v>574</v>
      </c>
      <c r="S27" s="55"/>
      <c r="U27" s="357">
        <f>O19</f>
        <v>-650.8954784680482</v>
      </c>
      <c r="V27" s="55"/>
      <c r="W27" s="55"/>
      <c r="X27" s="55"/>
      <c r="Y27" s="55"/>
      <c r="Z27" s="55"/>
    </row>
    <row r="28" spans="1:26" ht="12.75">
      <c r="A28" s="55"/>
      <c r="B28" s="572" t="s">
        <v>192</v>
      </c>
      <c r="C28" s="573"/>
      <c r="D28" s="574"/>
      <c r="E28" s="428"/>
      <c r="F28" s="572" t="s">
        <v>235</v>
      </c>
      <c r="G28" s="573"/>
      <c r="H28" s="573"/>
      <c r="I28" s="400">
        <f>AssetLiability!$D$32-AssetLiability!$D$31</f>
        <v>0</v>
      </c>
      <c r="J28" s="412"/>
      <c r="K28" s="575" t="s">
        <v>41</v>
      </c>
      <c r="L28" s="576"/>
      <c r="M28" s="576"/>
      <c r="N28" s="577"/>
      <c r="O28" s="395">
        <f>H18</f>
        <v>1308052.9863763447</v>
      </c>
      <c r="P28" s="55"/>
      <c r="Q28" s="55"/>
      <c r="S28" s="55"/>
      <c r="T28" s="54" t="s">
        <v>572</v>
      </c>
      <c r="U28" s="198">
        <f>SUM(U25:U27)</f>
        <v>16753.947904951994</v>
      </c>
      <c r="V28" s="55"/>
      <c r="W28" s="55"/>
      <c r="X28" s="55"/>
      <c r="Y28" s="55"/>
      <c r="Z28" s="55"/>
    </row>
    <row r="29" spans="1:26" ht="12.75">
      <c r="A29" s="55"/>
      <c r="B29" s="572" t="s">
        <v>250</v>
      </c>
      <c r="C29" s="573"/>
      <c r="D29" s="574"/>
      <c r="E29" s="424">
        <v>0</v>
      </c>
      <c r="F29" s="398" t="s">
        <v>42</v>
      </c>
      <c r="G29" s="403"/>
      <c r="H29" s="403"/>
      <c r="I29" s="399">
        <v>45000</v>
      </c>
      <c r="J29" s="412"/>
      <c r="K29" s="572" t="s">
        <v>120</v>
      </c>
      <c r="L29" s="573"/>
      <c r="M29" s="573"/>
      <c r="N29" s="441" t="s">
        <v>43</v>
      </c>
      <c r="O29" s="400">
        <f>O25</f>
        <v>29150.79179504799</v>
      </c>
      <c r="P29" s="55"/>
      <c r="Q29" s="55"/>
      <c r="R29" s="55"/>
      <c r="S29" s="55"/>
      <c r="T29" s="55"/>
      <c r="U29" s="55"/>
      <c r="V29" s="55"/>
      <c r="W29" s="55"/>
      <c r="X29" s="55"/>
      <c r="Y29" s="55"/>
      <c r="Z29" s="55"/>
    </row>
    <row r="30" spans="1:26" ht="12.75">
      <c r="A30" s="55"/>
      <c r="B30" s="582" t="s">
        <v>250</v>
      </c>
      <c r="C30" s="583"/>
      <c r="D30" s="606"/>
      <c r="E30" s="424">
        <v>0</v>
      </c>
      <c r="F30" s="429" t="s">
        <v>44</v>
      </c>
      <c r="G30" s="403"/>
      <c r="H30" s="430"/>
      <c r="I30" s="400">
        <f>IF(W9="N",0,$W$19)</f>
        <v>0</v>
      </c>
      <c r="J30" s="412"/>
      <c r="K30" s="572" t="s">
        <v>294</v>
      </c>
      <c r="L30" s="573"/>
      <c r="M30" s="573"/>
      <c r="N30" s="442" t="s">
        <v>43</v>
      </c>
      <c r="O30" s="400">
        <f>SUM(E29:E30)</f>
        <v>0</v>
      </c>
      <c r="P30" s="55"/>
      <c r="Q30" s="55"/>
      <c r="R30" s="56" t="s">
        <v>576</v>
      </c>
      <c r="S30" s="55"/>
      <c r="T30" s="55"/>
      <c r="U30" s="55"/>
      <c r="V30" s="55"/>
      <c r="W30" s="55"/>
      <c r="X30" s="55"/>
      <c r="Y30" s="55"/>
      <c r="Z30" s="55"/>
    </row>
    <row r="31" spans="1:26" ht="12.75">
      <c r="A31" s="55"/>
      <c r="B31" s="413" t="s">
        <v>47</v>
      </c>
      <c r="C31" s="431"/>
      <c r="D31" s="431"/>
      <c r="E31" s="432">
        <f>SUM(E22:E30)</f>
        <v>497434.104825</v>
      </c>
      <c r="F31" s="398" t="s">
        <v>45</v>
      </c>
      <c r="G31" s="403"/>
      <c r="H31" s="403"/>
      <c r="I31" s="399">
        <v>0</v>
      </c>
      <c r="J31" s="412"/>
      <c r="K31" s="572" t="s">
        <v>292</v>
      </c>
      <c r="L31" s="573"/>
      <c r="M31" s="573"/>
      <c r="N31" s="442" t="s">
        <v>46</v>
      </c>
      <c r="O31" s="400">
        <f>I29+I31</f>
        <v>45000</v>
      </c>
      <c r="P31" s="55"/>
      <c r="Q31" s="55"/>
      <c r="R31" s="55" t="s">
        <v>577</v>
      </c>
      <c r="S31" s="55"/>
      <c r="T31" s="55"/>
      <c r="U31" s="356">
        <f>O7</f>
        <v>0</v>
      </c>
      <c r="V31" s="55"/>
      <c r="W31" s="55"/>
      <c r="X31" s="55"/>
      <c r="Y31" s="55"/>
      <c r="Z31" s="55"/>
    </row>
    <row r="32" spans="1:26" ht="12.75">
      <c r="A32" s="55"/>
      <c r="B32" s="433" t="s">
        <v>49</v>
      </c>
      <c r="C32" s="412"/>
      <c r="D32" s="412"/>
      <c r="E32" s="392"/>
      <c r="F32" s="402"/>
      <c r="G32" s="403"/>
      <c r="H32" s="434" t="s">
        <v>164</v>
      </c>
      <c r="I32" s="432">
        <f>SUM(I22:I31)</f>
        <v>352332.8618537156</v>
      </c>
      <c r="J32" s="419"/>
      <c r="K32" s="570" t="s">
        <v>293</v>
      </c>
      <c r="L32" s="571"/>
      <c r="M32" s="571"/>
      <c r="N32" s="443" t="s">
        <v>211</v>
      </c>
      <c r="O32" s="435">
        <v>0</v>
      </c>
      <c r="P32" s="55"/>
      <c r="Q32" s="55"/>
      <c r="R32" s="55" t="s">
        <v>578</v>
      </c>
      <c r="S32" s="55"/>
      <c r="T32" s="55"/>
      <c r="U32" s="357">
        <f>O8</f>
        <v>0</v>
      </c>
      <c r="V32" s="55"/>
      <c r="W32" s="55"/>
      <c r="X32" s="55"/>
      <c r="Y32" s="55"/>
      <c r="Z32" s="55"/>
    </row>
    <row r="33" spans="1:26" ht="12.75">
      <c r="A33" s="55"/>
      <c r="B33" s="412"/>
      <c r="C33" s="412"/>
      <c r="D33" s="412"/>
      <c r="E33" s="392"/>
      <c r="F33" s="572" t="s">
        <v>165</v>
      </c>
      <c r="G33" s="573"/>
      <c r="H33" s="573"/>
      <c r="I33" s="406">
        <f>IF(SUM(I22:I31)&gt;(D6+E31),0,IF((D6+E31)-SUM(I22:I31)&gt;E26,E26,(D6+E31)-SUM(I22:I31)))</f>
        <v>139009.788375</v>
      </c>
      <c r="J33" s="412"/>
      <c r="K33" s="572" t="s">
        <v>50</v>
      </c>
      <c r="L33" s="573"/>
      <c r="M33" s="573"/>
      <c r="N33" s="444" t="s">
        <v>51</v>
      </c>
      <c r="O33" s="400">
        <f>O28+O29+O30-O31+O32</f>
        <v>1292203.7781713926</v>
      </c>
      <c r="P33" s="55"/>
      <c r="Q33" s="55"/>
      <c r="R33" s="55"/>
      <c r="S33" s="55"/>
      <c r="T33" s="120" t="s">
        <v>579</v>
      </c>
      <c r="U33" s="356">
        <f>SUM(U31:U32)</f>
        <v>0</v>
      </c>
      <c r="V33" s="55"/>
      <c r="W33" s="55"/>
      <c r="X33" s="55"/>
      <c r="Y33" s="55"/>
      <c r="Z33" s="55"/>
    </row>
    <row r="34" spans="1:26" ht="12.75">
      <c r="A34" s="55"/>
      <c r="B34" s="412"/>
      <c r="C34" s="436"/>
      <c r="D34" s="412"/>
      <c r="E34" s="437"/>
      <c r="F34" s="408" t="s">
        <v>48</v>
      </c>
      <c r="G34" s="438"/>
      <c r="H34" s="438"/>
      <c r="I34" s="432">
        <f>I32+I33</f>
        <v>491342.6502287156</v>
      </c>
      <c r="J34" s="412"/>
      <c r="K34" s="572" t="s">
        <v>52</v>
      </c>
      <c r="L34" s="573"/>
      <c r="M34" s="573"/>
      <c r="N34" s="574"/>
      <c r="O34" s="410">
        <f>I18</f>
        <v>1292203.7781713926</v>
      </c>
      <c r="P34" s="55"/>
      <c r="Q34" s="55"/>
      <c r="R34" s="55"/>
      <c r="S34" s="55"/>
      <c r="T34" s="55"/>
      <c r="U34" s="55"/>
      <c r="V34" s="55"/>
      <c r="W34" s="55"/>
      <c r="X34" s="55"/>
      <c r="Y34" s="55"/>
      <c r="Z34" s="55"/>
    </row>
    <row r="35" spans="1:26" ht="12.75">
      <c r="A35" s="55"/>
      <c r="B35" s="412"/>
      <c r="C35" s="412"/>
      <c r="D35" s="412"/>
      <c r="E35" s="392"/>
      <c r="F35" s="585" t="s">
        <v>303</v>
      </c>
      <c r="G35" s="586"/>
      <c r="H35" s="586"/>
      <c r="I35" s="411">
        <f>D6+E31-I34</f>
        <v>7591.4545962843695</v>
      </c>
      <c r="J35" s="412"/>
      <c r="K35" s="439"/>
      <c r="L35" s="445" t="s">
        <v>119</v>
      </c>
      <c r="M35" s="445"/>
      <c r="N35" s="446"/>
      <c r="O35" s="411">
        <f>O33-O34</f>
        <v>0</v>
      </c>
      <c r="P35" s="55"/>
      <c r="Q35" s="55"/>
      <c r="R35" s="56" t="s">
        <v>580</v>
      </c>
      <c r="S35" s="55"/>
      <c r="T35" s="55"/>
      <c r="U35" s="2">
        <f>O25-O31</f>
        <v>-15849.20820495201</v>
      </c>
      <c r="V35" s="55"/>
      <c r="W35" s="55"/>
      <c r="X35" s="55"/>
      <c r="Y35" s="55"/>
      <c r="Z35" s="55"/>
    </row>
    <row r="36" spans="1:26" ht="12.75">
      <c r="A36" s="55"/>
      <c r="B36" s="56"/>
      <c r="C36" s="56"/>
      <c r="D36" s="56"/>
      <c r="E36" s="56"/>
      <c r="F36" s="55"/>
      <c r="G36" s="26"/>
      <c r="H36" s="26"/>
      <c r="I36" s="27"/>
      <c r="J36" s="56"/>
      <c r="K36" s="56"/>
      <c r="L36" s="56"/>
      <c r="M36" s="56"/>
      <c r="N36" s="56"/>
      <c r="O36" s="56"/>
      <c r="P36" s="55"/>
      <c r="Q36" s="55"/>
      <c r="S36" s="55"/>
      <c r="T36" s="55"/>
      <c r="U36" s="55"/>
      <c r="V36" s="55"/>
      <c r="W36" s="55"/>
      <c r="X36" s="55"/>
      <c r="Y36" s="55"/>
      <c r="Z36" s="55"/>
    </row>
    <row r="37" spans="1:26" ht="12.75">
      <c r="A37" s="55"/>
      <c r="B37" s="56"/>
      <c r="C37" s="56"/>
      <c r="F37" s="25"/>
      <c r="G37" s="26"/>
      <c r="J37" s="56"/>
      <c r="K37" s="56"/>
      <c r="L37" s="56"/>
      <c r="M37" s="56"/>
      <c r="N37" s="56"/>
      <c r="O37" s="56"/>
      <c r="P37" s="55"/>
      <c r="Q37" s="55"/>
      <c r="S37" s="55"/>
      <c r="T37" s="55"/>
      <c r="U37" s="55"/>
      <c r="V37" s="55"/>
      <c r="W37" s="55"/>
      <c r="X37" s="55"/>
      <c r="Y37" s="55"/>
      <c r="Z37" s="55"/>
    </row>
    <row r="38" spans="1:26" ht="12.75">
      <c r="A38" s="55"/>
      <c r="B38" s="56"/>
      <c r="C38" s="56"/>
      <c r="D38" s="56"/>
      <c r="E38" s="56"/>
      <c r="F38" s="25"/>
      <c r="G38" s="26"/>
      <c r="H38" s="26"/>
      <c r="I38" s="27"/>
      <c r="J38" s="56"/>
      <c r="K38" s="56"/>
      <c r="L38" s="56"/>
      <c r="M38" s="56"/>
      <c r="N38" s="56"/>
      <c r="O38" s="56"/>
      <c r="P38" s="55"/>
      <c r="Q38" s="55"/>
      <c r="S38" s="55"/>
      <c r="T38" s="55"/>
      <c r="U38" s="55"/>
      <c r="V38" s="55"/>
      <c r="W38" s="55"/>
      <c r="X38" s="55"/>
      <c r="Y38" s="55"/>
      <c r="Z38" s="55"/>
    </row>
    <row r="39" spans="1:26" ht="12.75">
      <c r="A39" s="55"/>
      <c r="B39" s="56"/>
      <c r="C39" s="56"/>
      <c r="D39" s="56"/>
      <c r="E39" s="56"/>
      <c r="F39" s="55"/>
      <c r="G39" s="55"/>
      <c r="H39" s="55"/>
      <c r="I39" s="56"/>
      <c r="J39" s="60"/>
      <c r="K39" s="61"/>
      <c r="L39" s="56"/>
      <c r="M39" s="56"/>
      <c r="N39" s="56"/>
      <c r="O39" s="56"/>
      <c r="P39" s="55"/>
      <c r="Q39" s="55"/>
      <c r="R39" s="56" t="s">
        <v>695</v>
      </c>
      <c r="S39" s="55"/>
      <c r="T39" s="55"/>
      <c r="U39" s="55"/>
      <c r="V39" s="55"/>
      <c r="W39" s="55"/>
      <c r="X39" s="55"/>
      <c r="Y39" s="55"/>
      <c r="Z39" s="55"/>
    </row>
    <row r="40" spans="1:26" ht="12.75">
      <c r="A40" s="55"/>
      <c r="B40" s="56"/>
      <c r="C40" s="56"/>
      <c r="D40" s="56"/>
      <c r="E40" s="56"/>
      <c r="F40" s="83"/>
      <c r="G40" s="83"/>
      <c r="H40" s="83"/>
      <c r="I40" s="56"/>
      <c r="J40" s="56"/>
      <c r="K40" s="56"/>
      <c r="L40" s="56"/>
      <c r="M40" s="56"/>
      <c r="N40" s="56"/>
      <c r="O40" s="23"/>
      <c r="P40" s="55"/>
      <c r="Q40" s="55"/>
      <c r="R40" s="55" t="s">
        <v>582</v>
      </c>
      <c r="S40" s="55"/>
      <c r="T40" s="55"/>
      <c r="U40" s="55"/>
      <c r="V40" s="55">
        <v>30000</v>
      </c>
      <c r="W40" s="55">
        <v>100000</v>
      </c>
      <c r="X40" s="55"/>
      <c r="Y40" s="55"/>
      <c r="Z40" s="55"/>
    </row>
    <row r="41" spans="1:26" ht="12.75">
      <c r="A41" s="55"/>
      <c r="B41" s="55"/>
      <c r="C41" s="55"/>
      <c r="D41" s="55"/>
      <c r="E41" s="55"/>
      <c r="F41" s="85"/>
      <c r="G41" s="85"/>
      <c r="H41" s="85"/>
      <c r="I41" s="56"/>
      <c r="J41" s="56"/>
      <c r="K41" s="56"/>
      <c r="L41" s="56"/>
      <c r="M41" s="56"/>
      <c r="N41" s="56"/>
      <c r="O41" s="23"/>
      <c r="P41" s="55"/>
      <c r="Q41" s="55"/>
      <c r="R41" s="55" t="s">
        <v>583</v>
      </c>
      <c r="S41" s="55"/>
      <c r="T41" s="55"/>
      <c r="U41" s="55"/>
      <c r="V41" s="55">
        <v>40000</v>
      </c>
      <c r="W41" s="55">
        <v>75000</v>
      </c>
      <c r="X41" s="55"/>
      <c r="Y41" s="55"/>
      <c r="Z41" s="55"/>
    </row>
    <row r="42" spans="1:26" ht="13.5" thickBot="1">
      <c r="A42" s="55"/>
      <c r="B42" s="459" t="s">
        <v>290</v>
      </c>
      <c r="C42" s="460"/>
      <c r="D42" s="460"/>
      <c r="E42" s="460"/>
      <c r="F42" s="461"/>
      <c r="G42" s="85"/>
      <c r="H42" s="55"/>
      <c r="I42" s="56"/>
      <c r="J42" s="56"/>
      <c r="K42" s="56"/>
      <c r="L42" s="56"/>
      <c r="M42" s="56"/>
      <c r="N42" s="56"/>
      <c r="O42" s="23"/>
      <c r="P42" s="55"/>
      <c r="Q42" s="55"/>
      <c r="R42" s="55" t="s">
        <v>580</v>
      </c>
      <c r="S42" s="55"/>
      <c r="T42" s="55"/>
      <c r="U42" s="55"/>
      <c r="V42" s="55">
        <v>40000</v>
      </c>
      <c r="W42" s="55">
        <v>100000</v>
      </c>
      <c r="X42" s="55"/>
      <c r="Y42" s="55"/>
      <c r="Z42" s="55"/>
    </row>
    <row r="43" spans="1:26" ht="12.75">
      <c r="A43" s="55"/>
      <c r="B43" s="596" t="s">
        <v>212</v>
      </c>
      <c r="C43" s="597"/>
      <c r="D43" s="597"/>
      <c r="E43" s="597"/>
      <c r="F43" s="597"/>
      <c r="G43" s="598"/>
      <c r="H43" s="30">
        <v>25000</v>
      </c>
      <c r="I43" s="56"/>
      <c r="J43" s="56"/>
      <c r="K43" s="56"/>
      <c r="L43" s="56"/>
      <c r="M43" s="56"/>
      <c r="N43" s="56"/>
      <c r="O43" s="23"/>
      <c r="P43" s="55"/>
      <c r="Q43" s="55"/>
      <c r="R43" s="55" t="s">
        <v>584</v>
      </c>
      <c r="S43" s="55"/>
      <c r="T43" s="55"/>
      <c r="U43" s="55"/>
      <c r="V43" s="55">
        <v>40000</v>
      </c>
      <c r="W43" s="55">
        <v>75000</v>
      </c>
      <c r="X43" s="55"/>
      <c r="Y43" s="55"/>
      <c r="Z43" s="55"/>
    </row>
    <row r="44" spans="1:26" ht="12.75">
      <c r="A44" s="55"/>
      <c r="B44" s="599" t="s">
        <v>53</v>
      </c>
      <c r="C44" s="600"/>
      <c r="D44" s="600"/>
      <c r="E44" s="600"/>
      <c r="F44" s="600"/>
      <c r="G44" s="601"/>
      <c r="H44" s="31">
        <v>0</v>
      </c>
      <c r="I44" s="55"/>
      <c r="J44" s="56"/>
      <c r="K44" s="56"/>
      <c r="L44" s="56"/>
      <c r="M44" s="56"/>
      <c r="N44" s="56"/>
      <c r="O44" s="56"/>
      <c r="P44" s="55"/>
      <c r="Q44" s="55"/>
      <c r="R44" s="55" t="s">
        <v>585</v>
      </c>
      <c r="S44" s="55"/>
      <c r="T44" s="55"/>
      <c r="U44" s="55"/>
      <c r="V44" s="55">
        <v>325000</v>
      </c>
      <c r="W44" s="55">
        <v>375000</v>
      </c>
      <c r="X44" s="55"/>
      <c r="Y44" s="55"/>
      <c r="Z44" s="55"/>
    </row>
    <row r="45" spans="1:26" ht="13.5" thickBot="1">
      <c r="A45" s="55"/>
      <c r="B45" s="602" t="s">
        <v>54</v>
      </c>
      <c r="C45" s="603"/>
      <c r="D45" s="603"/>
      <c r="E45" s="603"/>
      <c r="F45" s="603"/>
      <c r="G45" s="604"/>
      <c r="H45" s="32">
        <v>0</v>
      </c>
      <c r="I45" s="85"/>
      <c r="J45" s="56"/>
      <c r="K45" s="56"/>
      <c r="L45" s="56"/>
      <c r="M45" s="56"/>
      <c r="N45" s="56"/>
      <c r="O45" s="56"/>
      <c r="P45" s="55"/>
      <c r="Q45" s="55"/>
      <c r="R45" s="55" t="s">
        <v>586</v>
      </c>
      <c r="S45" s="55"/>
      <c r="T45" s="55"/>
      <c r="U45" s="55"/>
      <c r="V45" s="55">
        <v>20000</v>
      </c>
      <c r="W45" s="55">
        <v>40000</v>
      </c>
      <c r="X45" s="55"/>
      <c r="Y45" s="55"/>
      <c r="Z45" s="55"/>
    </row>
    <row r="46" spans="1:26" ht="12.75">
      <c r="A46" s="55"/>
      <c r="B46" s="28"/>
      <c r="C46" s="29"/>
      <c r="D46" s="29"/>
      <c r="E46" s="29"/>
      <c r="F46" s="12"/>
      <c r="G46" s="12"/>
      <c r="H46" s="12"/>
      <c r="I46" s="29"/>
      <c r="J46" s="55"/>
      <c r="K46" s="55"/>
      <c r="L46" s="55"/>
      <c r="M46" s="55"/>
      <c r="N46" s="55"/>
      <c r="O46" s="55"/>
      <c r="P46" s="55"/>
      <c r="Q46" s="55"/>
      <c r="R46" s="55" t="s">
        <v>587</v>
      </c>
      <c r="S46" s="55"/>
      <c r="T46" s="55"/>
      <c r="U46" s="55"/>
      <c r="V46" s="55">
        <v>35000</v>
      </c>
      <c r="W46" s="55">
        <v>50000</v>
      </c>
      <c r="X46" s="55"/>
      <c r="Y46" s="55"/>
      <c r="Z46" s="55"/>
    </row>
    <row r="47" spans="1:26" ht="12.75">
      <c r="A47" s="55"/>
      <c r="B47" s="55"/>
      <c r="C47" s="55"/>
      <c r="D47" s="55"/>
      <c r="E47" s="55"/>
      <c r="F47" s="29"/>
      <c r="G47" s="29"/>
      <c r="H47" s="29"/>
      <c r="I47" s="29"/>
      <c r="J47" s="55"/>
      <c r="K47" s="55"/>
      <c r="L47" s="55"/>
      <c r="M47" s="55"/>
      <c r="N47" s="55"/>
      <c r="O47" s="55"/>
      <c r="P47" s="55"/>
      <c r="Q47" s="55"/>
      <c r="R47" s="55"/>
      <c r="S47" s="55"/>
      <c r="T47" s="55"/>
      <c r="U47" s="55"/>
      <c r="V47" s="55"/>
      <c r="W47" s="55"/>
      <c r="X47" s="55"/>
      <c r="Y47" s="55"/>
      <c r="Z47" s="55"/>
    </row>
    <row r="48" spans="1:26" ht="12.75">
      <c r="A48" s="55"/>
      <c r="B48" s="55"/>
      <c r="C48" s="28"/>
      <c r="D48" s="29"/>
      <c r="E48" s="29"/>
      <c r="F48" s="29"/>
      <c r="G48" s="29"/>
      <c r="H48" s="29"/>
      <c r="I48" s="29"/>
      <c r="J48" s="29"/>
      <c r="K48" s="29"/>
      <c r="L48" s="29"/>
      <c r="M48" s="29"/>
      <c r="N48" s="29"/>
      <c r="O48" s="29"/>
      <c r="P48" s="85"/>
      <c r="Q48" s="55"/>
      <c r="R48" s="55"/>
      <c r="S48" s="55"/>
      <c r="T48" s="55"/>
      <c r="U48" s="55"/>
      <c r="V48" s="55"/>
      <c r="W48" s="55"/>
      <c r="X48" s="55"/>
      <c r="Y48" s="55"/>
      <c r="Z48" s="55"/>
    </row>
    <row r="49" spans="1:26" ht="12.75">
      <c r="A49" s="55"/>
      <c r="B49" s="55"/>
      <c r="C49" s="28"/>
      <c r="D49" s="29"/>
      <c r="E49" s="29"/>
      <c r="F49" s="29"/>
      <c r="G49" s="29"/>
      <c r="H49" s="29"/>
      <c r="I49" s="29"/>
      <c r="J49" s="29"/>
      <c r="K49" s="29"/>
      <c r="L49" s="29"/>
      <c r="M49" s="29"/>
      <c r="N49" s="29"/>
      <c r="O49" s="29"/>
      <c r="P49" s="85"/>
      <c r="Q49" s="55"/>
      <c r="R49" s="55"/>
      <c r="S49" s="55"/>
      <c r="T49" s="55"/>
      <c r="U49" s="55"/>
      <c r="V49" s="55"/>
      <c r="W49" s="55"/>
      <c r="X49" s="55"/>
      <c r="Y49" s="55"/>
      <c r="Z49" s="55"/>
    </row>
    <row r="50" spans="3:16" ht="12.75">
      <c r="C50" s="28"/>
      <c r="D50" s="29"/>
      <c r="E50" s="29"/>
      <c r="F50" s="53" t="s">
        <v>694</v>
      </c>
      <c r="G50" s="29"/>
      <c r="H50" s="29"/>
      <c r="I50" s="29"/>
      <c r="J50" s="29"/>
      <c r="K50" s="29"/>
      <c r="L50" s="29"/>
      <c r="M50" s="29"/>
      <c r="N50" s="29"/>
      <c r="O50" s="29"/>
      <c r="P50" s="53"/>
    </row>
    <row r="51" spans="3:16" ht="12.75">
      <c r="C51" s="28"/>
      <c r="D51" s="29"/>
      <c r="E51" s="29"/>
      <c r="F51" s="53" t="s">
        <v>694</v>
      </c>
      <c r="G51" s="53"/>
      <c r="H51" s="53"/>
      <c r="I51" s="53"/>
      <c r="J51" s="29"/>
      <c r="K51" s="29"/>
      <c r="L51" s="29"/>
      <c r="M51" s="29"/>
      <c r="N51" s="29"/>
      <c r="O51" s="29"/>
      <c r="P51" s="53"/>
    </row>
    <row r="53" spans="6:16" ht="12.75">
      <c r="F53" s="53"/>
      <c r="G53" s="53"/>
      <c r="H53" s="53"/>
      <c r="I53" s="53"/>
      <c r="J53" s="29"/>
      <c r="K53" s="29"/>
      <c r="L53" s="29"/>
      <c r="M53" s="29" t="s">
        <v>642</v>
      </c>
      <c r="N53" s="29"/>
      <c r="O53" s="29"/>
      <c r="P53" s="53"/>
    </row>
    <row r="54" spans="6:16" ht="15.75">
      <c r="F54" s="451" t="s">
        <v>643</v>
      </c>
      <c r="G54" s="452"/>
      <c r="H54" s="452"/>
      <c r="I54" s="462" t="s">
        <v>644</v>
      </c>
      <c r="J54" s="463"/>
      <c r="K54" s="464"/>
      <c r="L54" s="29"/>
      <c r="M54" s="29" t="s">
        <v>645</v>
      </c>
      <c r="N54" s="29"/>
      <c r="O54" s="29"/>
      <c r="P54" s="53"/>
    </row>
    <row r="55" spans="6:16" ht="15.75">
      <c r="F55" t="s">
        <v>646</v>
      </c>
      <c r="G55" s="452"/>
      <c r="H55" s="452"/>
      <c r="I55" s="463"/>
      <c r="J55" s="463"/>
      <c r="K55" s="464"/>
      <c r="L55" s="29"/>
      <c r="M55" s="454" t="s">
        <v>379</v>
      </c>
      <c r="N55" s="29"/>
      <c r="O55" s="29" t="s">
        <v>647</v>
      </c>
      <c r="P55" s="53"/>
    </row>
    <row r="56" spans="6:16" ht="15.75">
      <c r="F56" s="455" t="s">
        <v>648</v>
      </c>
      <c r="G56" s="452"/>
      <c r="H56" s="452"/>
      <c r="I56" s="452"/>
      <c r="J56" s="452"/>
      <c r="K56" s="29"/>
      <c r="L56" s="29"/>
      <c r="M56" s="454" t="s">
        <v>369</v>
      </c>
      <c r="N56" s="29"/>
      <c r="O56" s="29" t="s">
        <v>649</v>
      </c>
      <c r="P56" s="53"/>
    </row>
    <row r="57" spans="6:16" ht="15.75">
      <c r="F57" s="455" t="s">
        <v>650</v>
      </c>
      <c r="G57" s="452"/>
      <c r="H57" s="452"/>
      <c r="I57" s="451" t="s">
        <v>651</v>
      </c>
      <c r="J57" s="452"/>
      <c r="K57" s="29"/>
      <c r="L57" s="29"/>
      <c r="M57" s="29"/>
      <c r="N57" s="29"/>
      <c r="O57" s="29"/>
      <c r="P57" s="53"/>
    </row>
    <row r="58" spans="6:16" ht="15.75">
      <c r="F58" s="455" t="s">
        <v>652</v>
      </c>
      <c r="G58" s="452"/>
      <c r="H58" s="452"/>
      <c r="I58" s="458">
        <v>0</v>
      </c>
      <c r="J58" s="452" t="s">
        <v>653</v>
      </c>
      <c r="K58" s="29"/>
      <c r="L58" s="29"/>
      <c r="M58" s="29"/>
      <c r="N58" s="29"/>
      <c r="O58" s="29"/>
      <c r="P58" s="53"/>
    </row>
    <row r="59" spans="6:16" ht="15.75">
      <c r="F59" s="455" t="s">
        <v>654</v>
      </c>
      <c r="G59" s="452"/>
      <c r="H59" s="452"/>
      <c r="I59" s="456">
        <v>1</v>
      </c>
      <c r="J59" s="452" t="s">
        <v>655</v>
      </c>
      <c r="K59" s="29"/>
      <c r="L59" s="29"/>
      <c r="M59" s="29"/>
      <c r="N59" s="29"/>
      <c r="O59" s="29"/>
      <c r="P59" s="53"/>
    </row>
    <row r="60" spans="6:16" ht="15.75">
      <c r="F60" s="455" t="s">
        <v>660</v>
      </c>
      <c r="G60" s="452"/>
      <c r="H60" s="452"/>
      <c r="I60" s="452"/>
      <c r="J60" s="452"/>
      <c r="K60" s="53"/>
      <c r="L60" s="53"/>
      <c r="M60" s="53"/>
      <c r="N60" s="53"/>
      <c r="O60" s="53"/>
      <c r="P60" s="53"/>
    </row>
    <row r="61" spans="3:10" ht="15.75">
      <c r="C61" s="14"/>
      <c r="F61" s="452"/>
      <c r="G61" s="452"/>
      <c r="H61" s="452"/>
      <c r="I61" s="451" t="s">
        <v>657</v>
      </c>
      <c r="J61" s="452"/>
    </row>
    <row r="62" spans="6:10" ht="15.75">
      <c r="F62" s="452"/>
      <c r="G62" s="452"/>
      <c r="H62" s="452"/>
      <c r="I62" s="452" t="s">
        <v>648</v>
      </c>
      <c r="J62" s="452"/>
    </row>
    <row r="63" spans="6:10" ht="15.75">
      <c r="F63" s="452"/>
      <c r="G63" s="452"/>
      <c r="H63" s="452"/>
      <c r="I63" s="452" t="s">
        <v>658</v>
      </c>
      <c r="J63" s="452"/>
    </row>
    <row r="64" spans="6:10" ht="15.75">
      <c r="F64" s="452"/>
      <c r="G64" s="452"/>
      <c r="H64" s="452"/>
      <c r="I64" s="452" t="s">
        <v>656</v>
      </c>
      <c r="J64" s="452"/>
    </row>
    <row r="65" spans="6:10" ht="15.75">
      <c r="F65" s="452"/>
      <c r="G65" s="452"/>
      <c r="H65" s="452"/>
      <c r="I65" s="452"/>
      <c r="J65" s="452"/>
    </row>
    <row r="66" spans="6:10" ht="15.75">
      <c r="F66" s="452"/>
      <c r="G66" s="452"/>
      <c r="H66" s="452"/>
      <c r="I66" s="452" t="s">
        <v>659</v>
      </c>
      <c r="J66" s="452"/>
    </row>
    <row r="67" spans="6:10" ht="15.75">
      <c r="F67" s="452"/>
      <c r="G67" s="452"/>
      <c r="H67" s="452"/>
      <c r="I67" s="453"/>
      <c r="J67" s="452"/>
    </row>
    <row r="71" ht="12.75">
      <c r="Q71" s="33" t="s">
        <v>675</v>
      </c>
    </row>
    <row r="72" spans="17:18" ht="12.75">
      <c r="Q72" s="457">
        <f>IF(AND($I$67=$F$60,$L$75=$I$75),1,0)</f>
        <v>0</v>
      </c>
      <c r="R72" t="s">
        <v>672</v>
      </c>
    </row>
    <row r="73" spans="17:18" ht="12.75">
      <c r="Q73" s="457">
        <f>IF(AND($I$67=$F$60,$L$75=$I$76),1,0)</f>
        <v>0</v>
      </c>
      <c r="R73" t="s">
        <v>671</v>
      </c>
    </row>
    <row r="74" spans="9:12" ht="12.75">
      <c r="I74" s="33" t="s">
        <v>673</v>
      </c>
      <c r="L74" s="33" t="s">
        <v>674</v>
      </c>
    </row>
    <row r="75" spans="9:12" ht="15.75">
      <c r="I75" t="s">
        <v>676</v>
      </c>
      <c r="L75" s="453"/>
    </row>
    <row r="76" ht="12.75">
      <c r="I76" t="s">
        <v>677</v>
      </c>
    </row>
    <row r="78" ht="12.75">
      <c r="I78" s="33" t="s">
        <v>680</v>
      </c>
    </row>
    <row r="79" spans="9:11" ht="12.75">
      <c r="I79" s="200" t="s">
        <v>683</v>
      </c>
      <c r="J79" s="199"/>
      <c r="K79" s="200" t="s">
        <v>608</v>
      </c>
    </row>
    <row r="80" spans="9:11" ht="12.75">
      <c r="I80" s="199">
        <v>1.81</v>
      </c>
      <c r="J80" s="199"/>
      <c r="K80" s="199">
        <v>1.91</v>
      </c>
    </row>
    <row r="81" spans="9:11" ht="12.75">
      <c r="I81" s="199">
        <v>3.61</v>
      </c>
      <c r="J81" s="199"/>
      <c r="K81" s="199">
        <v>3.31</v>
      </c>
    </row>
    <row r="84" spans="9:17" ht="12.75">
      <c r="I84" s="33" t="s">
        <v>685</v>
      </c>
      <c r="Q84" t="s">
        <v>686</v>
      </c>
    </row>
    <row r="85" spans="9:18" ht="12.75">
      <c r="I85" t="s">
        <v>687</v>
      </c>
      <c r="Q85" s="457"/>
      <c r="R85" t="s">
        <v>684</v>
      </c>
    </row>
    <row r="86" ht="12.75">
      <c r="I86" t="s">
        <v>687</v>
      </c>
    </row>
  </sheetData>
  <sheetProtection formatCells="0" formatColumns="0" formatRows="0"/>
  <mergeCells count="75">
    <mergeCell ref="B43:G43"/>
    <mergeCell ref="B44:G44"/>
    <mergeCell ref="B45:G45"/>
    <mergeCell ref="F16:G16"/>
    <mergeCell ref="B18:C18"/>
    <mergeCell ref="B30:D30"/>
    <mergeCell ref="F28:H28"/>
    <mergeCell ref="F25:G25"/>
    <mergeCell ref="F23:H23"/>
    <mergeCell ref="F26:H26"/>
    <mergeCell ref="L10:N10"/>
    <mergeCell ref="F18:G18"/>
    <mergeCell ref="K12:N12"/>
    <mergeCell ref="K13:N13"/>
    <mergeCell ref="K14:N14"/>
    <mergeCell ref="K15:N15"/>
    <mergeCell ref="K17:N17"/>
    <mergeCell ref="F13:G13"/>
    <mergeCell ref="F12:G12"/>
    <mergeCell ref="F11:G11"/>
    <mergeCell ref="K22:N22"/>
    <mergeCell ref="L20:N20"/>
    <mergeCell ref="B15:C15"/>
    <mergeCell ref="K19:N19"/>
    <mergeCell ref="F15:G15"/>
    <mergeCell ref="L16:N16"/>
    <mergeCell ref="K18:N18"/>
    <mergeCell ref="H4:I4"/>
    <mergeCell ref="B8:C8"/>
    <mergeCell ref="B9:C9"/>
    <mergeCell ref="B7:C7"/>
    <mergeCell ref="B6:C6"/>
    <mergeCell ref="F7:G7"/>
    <mergeCell ref="B12:C12"/>
    <mergeCell ref="B10:C10"/>
    <mergeCell ref="B27:D27"/>
    <mergeCell ref="D4:E4"/>
    <mergeCell ref="B11:C11"/>
    <mergeCell ref="B14:C14"/>
    <mergeCell ref="B13:C13"/>
    <mergeCell ref="K7:N7"/>
    <mergeCell ref="K6:N6"/>
    <mergeCell ref="B16:C16"/>
    <mergeCell ref="B17:C17"/>
    <mergeCell ref="F17:G17"/>
    <mergeCell ref="F6:G6"/>
    <mergeCell ref="F14:G14"/>
    <mergeCell ref="F9:G9"/>
    <mergeCell ref="F8:G8"/>
    <mergeCell ref="K9:N9"/>
    <mergeCell ref="F35:H35"/>
    <mergeCell ref="K30:M30"/>
    <mergeCell ref="K31:M31"/>
    <mergeCell ref="K32:M32"/>
    <mergeCell ref="K33:M33"/>
    <mergeCell ref="R7:W7"/>
    <mergeCell ref="K34:N34"/>
    <mergeCell ref="K28:N28"/>
    <mergeCell ref="F33:H33"/>
    <mergeCell ref="K23:M23"/>
    <mergeCell ref="K24:N24"/>
    <mergeCell ref="K25:N25"/>
    <mergeCell ref="K29:M29"/>
    <mergeCell ref="F22:G22"/>
    <mergeCell ref="F27:H27"/>
    <mergeCell ref="K8:N8"/>
    <mergeCell ref="B28:D28"/>
    <mergeCell ref="B29:D29"/>
    <mergeCell ref="B22:D22"/>
    <mergeCell ref="B23:D23"/>
    <mergeCell ref="F24:H24"/>
    <mergeCell ref="B24:D24"/>
    <mergeCell ref="B25:D25"/>
    <mergeCell ref="B26:C26"/>
    <mergeCell ref="F10:G10"/>
  </mergeCells>
  <conditionalFormatting sqref="O32">
    <cfRule type="cellIs" priority="1" dxfId="2" operator="lessThan" stopIfTrue="1">
      <formula>0</formula>
    </cfRule>
  </conditionalFormatting>
  <conditionalFormatting sqref="I19 W15 W17">
    <cfRule type="cellIs" priority="2" dxfId="0" operator="lessThan" stopIfTrue="1">
      <formula>0</formula>
    </cfRule>
  </conditionalFormatting>
  <printOptions horizontalCentered="1"/>
  <pageMargins left="0.5" right="0.5" top="0.5" bottom="0.5" header="0.5" footer="0.5"/>
  <pageSetup fitToHeight="1" fitToWidth="1" horizontalDpi="360" verticalDpi="360" orientation="landscape" scale="56" r:id="rId4"/>
  <drawing r:id="rId3"/>
  <legacyDrawing r:id="rId2"/>
</worksheet>
</file>

<file path=xl/worksheets/sheet7.xml><?xml version="1.0" encoding="utf-8"?>
<worksheet xmlns="http://schemas.openxmlformats.org/spreadsheetml/2006/main" xmlns:r="http://schemas.openxmlformats.org/officeDocument/2006/relationships">
  <sheetPr codeName="Sheet4" transitionEvaluation="1">
    <pageSetUpPr fitToPage="1"/>
  </sheetPr>
  <dimension ref="A1:AK118"/>
  <sheetViews>
    <sheetView showGridLines="0" zoomScale="80" zoomScaleNormal="80" zoomScalePageLayoutView="0" workbookViewId="0" topLeftCell="A1">
      <selection activeCell="F90" sqref="F90"/>
    </sheetView>
  </sheetViews>
  <sheetFormatPr defaultColWidth="9.7109375" defaultRowHeight="12.75"/>
  <cols>
    <col min="2" max="2" width="5.7109375" style="0" customWidth="1"/>
    <col min="3" max="4" width="6.7109375" style="0" customWidth="1"/>
    <col min="5" max="5" width="11.28125" style="0" customWidth="1"/>
    <col min="6" max="6" width="18.7109375" style="0" customWidth="1"/>
    <col min="7" max="7" width="12.00390625" style="0" customWidth="1"/>
    <col min="8" max="8" width="13.8515625" style="0" customWidth="1"/>
    <col min="9" max="9" width="11.7109375" style="0" customWidth="1"/>
    <col min="10" max="10" width="12.8515625" style="0" customWidth="1"/>
    <col min="16" max="16" width="12.140625" style="0" customWidth="1"/>
    <col min="17" max="17" width="12.57421875" style="0" customWidth="1"/>
    <col min="18" max="18" width="13.28125" style="0" customWidth="1"/>
  </cols>
  <sheetData>
    <row r="1" spans="1:12" ht="12.75">
      <c r="A1" s="33"/>
      <c r="B1" s="33"/>
      <c r="C1" s="33"/>
      <c r="D1" s="33"/>
      <c r="E1" s="33"/>
      <c r="F1" s="33"/>
      <c r="G1" s="33"/>
      <c r="H1" s="33"/>
      <c r="I1" s="33"/>
      <c r="J1" s="33"/>
      <c r="K1" s="33"/>
      <c r="L1" s="33"/>
    </row>
    <row r="2" spans="1:12" ht="12.75">
      <c r="A2" s="33"/>
      <c r="B2" s="33"/>
      <c r="C2" s="33"/>
      <c r="D2" s="33"/>
      <c r="E2" s="33"/>
      <c r="F2" s="33"/>
      <c r="G2" s="33"/>
      <c r="H2" s="33"/>
      <c r="I2" s="33"/>
      <c r="J2" s="33"/>
      <c r="K2" s="33"/>
      <c r="L2" s="33"/>
    </row>
    <row r="3" spans="1:37" ht="19.5">
      <c r="A3" s="33"/>
      <c r="B3" s="15" t="s">
        <v>55</v>
      </c>
      <c r="C3" s="33"/>
      <c r="D3" s="33"/>
      <c r="E3" s="33"/>
      <c r="F3" s="33"/>
      <c r="G3" s="33"/>
      <c r="H3" s="33"/>
      <c r="I3" s="33"/>
      <c r="J3" s="33"/>
      <c r="K3" s="33"/>
      <c r="L3" s="33"/>
      <c r="M3" s="293"/>
      <c r="N3" s="294" t="s">
        <v>628</v>
      </c>
      <c r="O3" s="293"/>
      <c r="P3" s="293"/>
      <c r="Q3" s="293"/>
      <c r="R3" s="293"/>
      <c r="S3" s="293"/>
      <c r="T3" s="293"/>
      <c r="U3" s="293"/>
      <c r="V3" s="293"/>
      <c r="W3" s="293"/>
      <c r="X3" s="293"/>
      <c r="Y3" s="293"/>
      <c r="Z3" s="293"/>
      <c r="AA3" s="293"/>
      <c r="AB3" s="293"/>
      <c r="AC3" s="293"/>
      <c r="AD3" s="293"/>
      <c r="AE3" s="293"/>
      <c r="AF3" s="293"/>
      <c r="AG3" s="293"/>
      <c r="AH3" s="293"/>
      <c r="AI3" s="293"/>
      <c r="AJ3" s="293"/>
      <c r="AK3" s="293"/>
    </row>
    <row r="4" spans="1:37" ht="15.75">
      <c r="A4" s="33"/>
      <c r="B4" s="33"/>
      <c r="C4" s="33"/>
      <c r="D4" s="33"/>
      <c r="E4" s="33"/>
      <c r="F4" s="33"/>
      <c r="G4" s="33"/>
      <c r="H4" s="33"/>
      <c r="I4" s="33"/>
      <c r="J4" s="33"/>
      <c r="K4" s="33"/>
      <c r="L4" s="33"/>
      <c r="M4" s="293"/>
      <c r="N4" s="293"/>
      <c r="O4" s="293"/>
      <c r="P4" s="293"/>
      <c r="Q4" s="293"/>
      <c r="R4" s="293"/>
      <c r="S4" s="293"/>
      <c r="T4" s="293"/>
      <c r="U4" s="293"/>
      <c r="V4" s="293"/>
      <c r="W4" s="295"/>
      <c r="X4" s="295"/>
      <c r="Y4" s="293"/>
      <c r="Z4" s="293"/>
      <c r="AA4" s="293"/>
      <c r="AB4" s="293"/>
      <c r="AC4" s="293"/>
      <c r="AD4" s="293"/>
      <c r="AE4" s="293"/>
      <c r="AF4" s="293"/>
      <c r="AG4" s="293"/>
      <c r="AH4" s="293"/>
      <c r="AI4" s="293"/>
      <c r="AJ4" s="293"/>
      <c r="AK4" s="293"/>
    </row>
    <row r="5" spans="1:37" ht="19.5">
      <c r="A5" s="16" t="s">
        <v>56</v>
      </c>
      <c r="B5" s="36"/>
      <c r="C5" s="36"/>
      <c r="D5" s="36"/>
      <c r="E5" s="36"/>
      <c r="F5" s="36"/>
      <c r="G5" s="36"/>
      <c r="H5" s="36"/>
      <c r="I5" s="36"/>
      <c r="J5" s="36"/>
      <c r="K5" s="33"/>
      <c r="L5" s="33"/>
      <c r="M5" s="293"/>
      <c r="N5" s="293"/>
      <c r="O5" s="293"/>
      <c r="P5" s="293"/>
      <c r="Q5" s="293"/>
      <c r="R5" s="293"/>
      <c r="S5" s="293"/>
      <c r="T5" s="293"/>
      <c r="U5" s="611" t="s">
        <v>560</v>
      </c>
      <c r="V5" s="612"/>
      <c r="W5" s="612"/>
      <c r="X5" s="612"/>
      <c r="Y5" s="612"/>
      <c r="Z5" s="612"/>
      <c r="AA5" s="612"/>
      <c r="AB5" s="612"/>
      <c r="AC5" s="612"/>
      <c r="AD5" s="612"/>
      <c r="AE5" s="613"/>
      <c r="AF5" s="293"/>
      <c r="AG5" s="293"/>
      <c r="AH5" s="293"/>
      <c r="AI5" s="293"/>
      <c r="AJ5" s="296" t="s">
        <v>557</v>
      </c>
      <c r="AK5" s="293"/>
    </row>
    <row r="6" spans="1:37" ht="18.75">
      <c r="A6" s="17" t="s">
        <v>57</v>
      </c>
      <c r="B6" s="33"/>
      <c r="C6" s="33"/>
      <c r="D6" s="33"/>
      <c r="E6" s="33"/>
      <c r="F6" s="33"/>
      <c r="G6" s="376" t="s">
        <v>58</v>
      </c>
      <c r="H6" s="377"/>
      <c r="I6" s="378" t="s">
        <v>59</v>
      </c>
      <c r="J6" s="377"/>
      <c r="K6" s="33"/>
      <c r="L6" s="33"/>
      <c r="M6" s="297" t="s">
        <v>506</v>
      </c>
      <c r="N6" s="298" t="s">
        <v>559</v>
      </c>
      <c r="O6" s="299"/>
      <c r="P6" s="299"/>
      <c r="Q6" s="299"/>
      <c r="R6" s="300"/>
      <c r="S6" s="615" t="s">
        <v>501</v>
      </c>
      <c r="T6" s="616"/>
      <c r="U6" s="301" t="s">
        <v>561</v>
      </c>
      <c r="V6" s="302"/>
      <c r="W6" s="302"/>
      <c r="X6" s="293"/>
      <c r="Y6" s="301" t="s">
        <v>562</v>
      </c>
      <c r="Z6" s="293"/>
      <c r="AA6" s="293"/>
      <c r="AB6" s="293"/>
      <c r="AC6" s="293" t="s">
        <v>563</v>
      </c>
      <c r="AD6" s="293"/>
      <c r="AE6" s="293"/>
      <c r="AF6" s="293"/>
      <c r="AG6" s="293" t="s">
        <v>564</v>
      </c>
      <c r="AH6" s="293"/>
      <c r="AI6" s="293"/>
      <c r="AJ6" s="296" t="s">
        <v>558</v>
      </c>
      <c r="AK6" s="293"/>
    </row>
    <row r="7" spans="1:37" ht="18.75">
      <c r="A7" s="11"/>
      <c r="B7" s="35" t="s">
        <v>60</v>
      </c>
      <c r="C7" s="34"/>
      <c r="D7" s="34"/>
      <c r="E7" s="34"/>
      <c r="F7" s="34"/>
      <c r="G7" s="37">
        <f>Statements!D13</f>
        <v>234900</v>
      </c>
      <c r="H7" s="381"/>
      <c r="I7" s="379">
        <f>Statements!E13</f>
        <v>240991.45459628437</v>
      </c>
      <c r="J7" s="33"/>
      <c r="K7" s="33"/>
      <c r="L7" s="33"/>
      <c r="M7" s="303" t="s">
        <v>507</v>
      </c>
      <c r="N7" s="304" t="s">
        <v>56</v>
      </c>
      <c r="O7" s="299"/>
      <c r="P7" s="299"/>
      <c r="Q7" s="299"/>
      <c r="R7" s="300"/>
      <c r="S7" s="305" t="s">
        <v>58</v>
      </c>
      <c r="T7" s="305" t="s">
        <v>59</v>
      </c>
      <c r="U7" s="306" t="s">
        <v>457</v>
      </c>
      <c r="V7" s="307" t="s">
        <v>458</v>
      </c>
      <c r="W7" s="308" t="s">
        <v>459</v>
      </c>
      <c r="X7" s="309"/>
      <c r="Y7" s="306" t="s">
        <v>457</v>
      </c>
      <c r="Z7" s="307" t="s">
        <v>458</v>
      </c>
      <c r="AA7" s="308" t="s">
        <v>459</v>
      </c>
      <c r="AB7" s="309"/>
      <c r="AC7" s="306" t="s">
        <v>457</v>
      </c>
      <c r="AD7" s="307" t="s">
        <v>458</v>
      </c>
      <c r="AE7" s="308" t="s">
        <v>459</v>
      </c>
      <c r="AF7" s="309"/>
      <c r="AG7" s="310" t="s">
        <v>508</v>
      </c>
      <c r="AH7" s="310" t="s">
        <v>509</v>
      </c>
      <c r="AI7" s="311"/>
      <c r="AJ7" s="305" t="s">
        <v>565</v>
      </c>
      <c r="AK7" s="293"/>
    </row>
    <row r="8" spans="1:37" ht="15.75">
      <c r="A8" s="11"/>
      <c r="B8" s="35" t="s">
        <v>61</v>
      </c>
      <c r="C8" s="34"/>
      <c r="D8" s="34"/>
      <c r="E8" s="34"/>
      <c r="F8" s="34"/>
      <c r="G8" s="37">
        <f>Statements!H14</f>
        <v>36447.94251059065</v>
      </c>
      <c r="H8" s="382">
        <f>G7/IF(G8=0,1,G8)</f>
        <v>6.444808233873429</v>
      </c>
      <c r="I8" s="379">
        <f>Statements!I14</f>
        <v>36447.94251059065</v>
      </c>
      <c r="J8" s="18">
        <f>I7/IF(I8=0,1,I8)</f>
        <v>6.6119357636239595</v>
      </c>
      <c r="K8" s="33"/>
      <c r="L8" s="33"/>
      <c r="M8" s="297" t="s">
        <v>502</v>
      </c>
      <c r="N8" s="293" t="s">
        <v>57</v>
      </c>
      <c r="O8" s="293"/>
      <c r="P8" s="293"/>
      <c r="Q8" s="293"/>
      <c r="R8" s="293"/>
      <c r="S8" s="312">
        <v>1.92</v>
      </c>
      <c r="T8" s="313">
        <v>2.2</v>
      </c>
      <c r="U8" s="314" t="s">
        <v>460</v>
      </c>
      <c r="V8" s="314" t="s">
        <v>505</v>
      </c>
      <c r="W8" s="314" t="s">
        <v>465</v>
      </c>
      <c r="X8" s="315"/>
      <c r="Y8" s="316" t="s">
        <v>469</v>
      </c>
      <c r="Z8" s="316" t="s">
        <v>470</v>
      </c>
      <c r="AA8" s="316" t="s">
        <v>471</v>
      </c>
      <c r="AB8" s="316"/>
      <c r="AC8" s="316" t="s">
        <v>460</v>
      </c>
      <c r="AD8" s="316" t="s">
        <v>526</v>
      </c>
      <c r="AE8" s="316" t="s">
        <v>527</v>
      </c>
      <c r="AF8" s="316"/>
      <c r="AG8" s="316" t="s">
        <v>517</v>
      </c>
      <c r="AH8" s="316" t="s">
        <v>518</v>
      </c>
      <c r="AI8" s="316"/>
      <c r="AJ8" s="317">
        <v>1.48</v>
      </c>
      <c r="AK8" s="318"/>
    </row>
    <row r="9" spans="1:37" ht="15.75">
      <c r="A9" s="17" t="s">
        <v>62</v>
      </c>
      <c r="B9" s="33"/>
      <c r="C9" s="33"/>
      <c r="D9" s="33"/>
      <c r="E9" s="33"/>
      <c r="F9" s="33"/>
      <c r="G9" s="19"/>
      <c r="H9" s="381"/>
      <c r="I9" s="380"/>
      <c r="J9" s="11"/>
      <c r="K9" s="33"/>
      <c r="L9" s="33"/>
      <c r="M9" s="319"/>
      <c r="N9" s="293"/>
      <c r="O9" s="351" t="s">
        <v>571</v>
      </c>
      <c r="P9" s="293"/>
      <c r="Q9" s="293">
        <v>1</v>
      </c>
      <c r="R9" s="293"/>
      <c r="S9" s="332"/>
      <c r="T9" s="333"/>
      <c r="U9" s="314"/>
      <c r="V9" s="314"/>
      <c r="W9" s="314"/>
      <c r="X9" s="315"/>
      <c r="Y9" s="316"/>
      <c r="Z9" s="316"/>
      <c r="AA9" s="316"/>
      <c r="AB9" s="316"/>
      <c r="AC9" s="316"/>
      <c r="AD9" s="316"/>
      <c r="AE9" s="316"/>
      <c r="AF9" s="316"/>
      <c r="AG9" s="316"/>
      <c r="AH9" s="316"/>
      <c r="AI9" s="316"/>
      <c r="AJ9" s="317"/>
      <c r="AK9" s="318"/>
    </row>
    <row r="10" spans="1:37" ht="15.75">
      <c r="A10" s="33"/>
      <c r="B10" s="35" t="s">
        <v>63</v>
      </c>
      <c r="C10" s="34"/>
      <c r="D10" s="34"/>
      <c r="E10" s="34"/>
      <c r="F10" s="34"/>
      <c r="G10" s="37">
        <f>Statements!D13</f>
        <v>234900</v>
      </c>
      <c r="H10" s="381"/>
      <c r="I10" s="379">
        <f>Statements!E13</f>
        <v>240991.45459628437</v>
      </c>
      <c r="J10" s="11"/>
      <c r="K10" s="33"/>
      <c r="L10" s="33"/>
      <c r="M10" s="319"/>
      <c r="N10" s="293"/>
      <c r="O10" s="293"/>
      <c r="P10" s="293"/>
      <c r="Q10" s="293">
        <v>1.5</v>
      </c>
      <c r="R10" s="293"/>
      <c r="S10" s="332"/>
      <c r="T10" s="333"/>
      <c r="U10" s="314"/>
      <c r="V10" s="314"/>
      <c r="W10" s="314"/>
      <c r="X10" s="315"/>
      <c r="Y10" s="316"/>
      <c r="Z10" s="316"/>
      <c r="AA10" s="316"/>
      <c r="AB10" s="316"/>
      <c r="AC10" s="316"/>
      <c r="AD10" s="316"/>
      <c r="AE10" s="316"/>
      <c r="AF10" s="316"/>
      <c r="AG10" s="316"/>
      <c r="AH10" s="316"/>
      <c r="AI10" s="316"/>
      <c r="AJ10" s="317"/>
      <c r="AK10" s="318"/>
    </row>
    <row r="11" spans="1:37" ht="15.75">
      <c r="A11" s="33"/>
      <c r="B11" s="35" t="s">
        <v>64</v>
      </c>
      <c r="C11" s="34"/>
      <c r="D11" s="34"/>
      <c r="E11" s="34"/>
      <c r="F11" s="34"/>
      <c r="G11" s="37">
        <f>Statements!H14</f>
        <v>36447.94251059065</v>
      </c>
      <c r="H11" s="383">
        <f>G10-G11</f>
        <v>198452.05748940934</v>
      </c>
      <c r="I11" s="379">
        <f>Statements!I14</f>
        <v>36447.94251059065</v>
      </c>
      <c r="J11" s="19">
        <f>I10-I11</f>
        <v>204543.5120856937</v>
      </c>
      <c r="K11" s="33"/>
      <c r="L11" s="33"/>
      <c r="M11" s="319"/>
      <c r="N11" s="293"/>
      <c r="O11" s="293"/>
      <c r="P11" s="293"/>
      <c r="Q11" s="293"/>
      <c r="R11" s="293"/>
      <c r="S11" s="332"/>
      <c r="T11" s="333"/>
      <c r="U11" s="314"/>
      <c r="V11" s="314"/>
      <c r="W11" s="314"/>
      <c r="X11" s="315"/>
      <c r="Y11" s="316"/>
      <c r="Z11" s="316"/>
      <c r="AA11" s="316"/>
      <c r="AB11" s="316"/>
      <c r="AC11" s="316"/>
      <c r="AD11" s="316"/>
      <c r="AE11" s="316"/>
      <c r="AF11" s="316"/>
      <c r="AG11" s="316"/>
      <c r="AH11" s="316"/>
      <c r="AI11" s="316"/>
      <c r="AJ11" s="317"/>
      <c r="AK11" s="318"/>
    </row>
    <row r="12" spans="1:37" ht="19.5">
      <c r="A12" s="16" t="s">
        <v>65</v>
      </c>
      <c r="B12" s="36"/>
      <c r="C12" s="36"/>
      <c r="D12" s="36"/>
      <c r="E12" s="36"/>
      <c r="F12" s="36"/>
      <c r="G12" s="36"/>
      <c r="H12" s="36"/>
      <c r="I12" s="36"/>
      <c r="J12" s="36"/>
      <c r="K12" s="33"/>
      <c r="L12" s="33"/>
      <c r="M12" s="319"/>
      <c r="N12" s="293"/>
      <c r="O12" s="293"/>
      <c r="P12" s="293"/>
      <c r="Q12" s="293"/>
      <c r="R12" s="293"/>
      <c r="S12" s="332"/>
      <c r="T12" s="333"/>
      <c r="U12" s="314"/>
      <c r="V12" s="314"/>
      <c r="W12" s="314"/>
      <c r="X12" s="315"/>
      <c r="Y12" s="316"/>
      <c r="Z12" s="316"/>
      <c r="AA12" s="316"/>
      <c r="AB12" s="316"/>
      <c r="AC12" s="316"/>
      <c r="AD12" s="316"/>
      <c r="AE12" s="316"/>
      <c r="AF12" s="316"/>
      <c r="AG12" s="316"/>
      <c r="AH12" s="316"/>
      <c r="AI12" s="316"/>
      <c r="AJ12" s="317"/>
      <c r="AK12" s="318"/>
    </row>
    <row r="13" spans="1:37" ht="15.75">
      <c r="A13" s="17" t="s">
        <v>66</v>
      </c>
      <c r="B13" s="33"/>
      <c r="C13" s="33"/>
      <c r="D13" s="33"/>
      <c r="E13" s="33"/>
      <c r="F13" s="33"/>
      <c r="G13" s="376" t="s">
        <v>58</v>
      </c>
      <c r="H13" s="377"/>
      <c r="I13" s="378" t="s">
        <v>59</v>
      </c>
      <c r="J13" s="377"/>
      <c r="K13" s="33"/>
      <c r="L13" s="33"/>
      <c r="M13" s="319" t="s">
        <v>502</v>
      </c>
      <c r="N13" s="293" t="s">
        <v>62</v>
      </c>
      <c r="O13" s="293"/>
      <c r="P13" s="293"/>
      <c r="Q13" s="293"/>
      <c r="R13" s="293"/>
      <c r="S13" s="320">
        <v>40889</v>
      </c>
      <c r="T13" s="321">
        <v>53373</v>
      </c>
      <c r="U13" s="614" t="s">
        <v>466</v>
      </c>
      <c r="V13" s="614"/>
      <c r="W13" s="614"/>
      <c r="X13" s="315"/>
      <c r="Y13" s="322"/>
      <c r="Z13" s="322"/>
      <c r="AA13" s="322"/>
      <c r="AB13" s="316"/>
      <c r="AC13" s="609" t="s">
        <v>528</v>
      </c>
      <c r="AD13" s="609"/>
      <c r="AE13" s="609"/>
      <c r="AF13" s="316"/>
      <c r="AG13" s="316"/>
      <c r="AH13" s="316"/>
      <c r="AI13" s="316"/>
      <c r="AJ13" s="324">
        <v>60304</v>
      </c>
      <c r="AK13" s="318"/>
    </row>
    <row r="14" spans="1:37" ht="15.75">
      <c r="A14" s="11"/>
      <c r="B14" s="35" t="s">
        <v>67</v>
      </c>
      <c r="C14" s="34"/>
      <c r="D14" s="34"/>
      <c r="E14" s="34"/>
      <c r="F14" s="33"/>
      <c r="G14" s="37">
        <f>Statements!H17</f>
        <v>291847.01362365537</v>
      </c>
      <c r="H14" s="381"/>
      <c r="I14" s="379">
        <f>Statements!I17</f>
        <v>279287.6764248917</v>
      </c>
      <c r="J14" s="33"/>
      <c r="K14" s="33"/>
      <c r="L14" s="33"/>
      <c r="M14" s="319"/>
      <c r="N14" s="293"/>
      <c r="O14" s="293"/>
      <c r="P14" s="293"/>
      <c r="Q14" s="293"/>
      <c r="R14" s="293"/>
      <c r="S14" s="320"/>
      <c r="T14" s="321"/>
      <c r="U14" s="314"/>
      <c r="V14" s="314"/>
      <c r="W14" s="314"/>
      <c r="X14" s="315"/>
      <c r="Y14" s="322"/>
      <c r="Z14" s="322"/>
      <c r="AA14" s="322"/>
      <c r="AB14" s="316"/>
      <c r="AC14" s="325"/>
      <c r="AD14" s="325"/>
      <c r="AE14" s="325"/>
      <c r="AF14" s="316"/>
      <c r="AG14" s="316"/>
      <c r="AH14" s="316"/>
      <c r="AI14" s="316"/>
      <c r="AJ14" s="324"/>
      <c r="AK14" s="318"/>
    </row>
    <row r="15" spans="1:37" ht="15.75">
      <c r="A15" s="11"/>
      <c r="B15" s="35" t="s">
        <v>68</v>
      </c>
      <c r="C15" s="34"/>
      <c r="D15" s="34"/>
      <c r="E15" s="34"/>
      <c r="F15" s="33"/>
      <c r="G15" s="37">
        <f>Statements!D18</f>
        <v>1599900</v>
      </c>
      <c r="H15" s="384">
        <f>G14/G15</f>
        <v>0.18241578450131593</v>
      </c>
      <c r="I15" s="379">
        <f>Statements!E18</f>
        <v>1571491.4545962843</v>
      </c>
      <c r="J15" s="352">
        <f>I14/I15</f>
        <v>0.17772140956161966</v>
      </c>
      <c r="K15" s="33"/>
      <c r="L15" s="33"/>
      <c r="M15" s="319"/>
      <c r="N15" s="326" t="s">
        <v>65</v>
      </c>
      <c r="O15" s="309"/>
      <c r="P15" s="309"/>
      <c r="Q15" s="309"/>
      <c r="R15" s="309"/>
      <c r="S15" s="327"/>
      <c r="T15" s="328"/>
      <c r="U15" s="315"/>
      <c r="V15" s="315"/>
      <c r="W15" s="315"/>
      <c r="X15" s="315"/>
      <c r="Y15" s="316"/>
      <c r="Z15" s="316"/>
      <c r="AA15" s="316"/>
      <c r="AB15" s="316"/>
      <c r="AC15" s="316"/>
      <c r="AD15" s="316"/>
      <c r="AE15" s="316"/>
      <c r="AF15" s="316"/>
      <c r="AG15" s="316"/>
      <c r="AH15" s="316"/>
      <c r="AI15" s="316"/>
      <c r="AJ15" s="316"/>
      <c r="AK15" s="318"/>
    </row>
    <row r="16" spans="1:37" ht="15.75">
      <c r="A16" s="17" t="s">
        <v>69</v>
      </c>
      <c r="B16" s="33"/>
      <c r="C16" s="33"/>
      <c r="D16" s="33"/>
      <c r="E16" s="33"/>
      <c r="F16" s="33"/>
      <c r="G16" s="38"/>
      <c r="H16" s="384"/>
      <c r="I16" s="379"/>
      <c r="J16" s="20"/>
      <c r="K16" s="18"/>
      <c r="L16" s="33"/>
      <c r="M16" s="319" t="s">
        <v>503</v>
      </c>
      <c r="N16" s="293" t="s">
        <v>66</v>
      </c>
      <c r="O16" s="293"/>
      <c r="P16" s="293"/>
      <c r="Q16" s="293"/>
      <c r="R16" s="293"/>
      <c r="S16" s="329">
        <v>0.2343</v>
      </c>
      <c r="T16" s="330">
        <v>0.2275</v>
      </c>
      <c r="U16" s="314" t="s">
        <v>461</v>
      </c>
      <c r="V16" s="314" t="s">
        <v>467</v>
      </c>
      <c r="W16" s="314" t="s">
        <v>462</v>
      </c>
      <c r="X16" s="315"/>
      <c r="Y16" s="316" t="s">
        <v>500</v>
      </c>
      <c r="Z16" s="316" t="s">
        <v>472</v>
      </c>
      <c r="AA16" s="316" t="s">
        <v>473</v>
      </c>
      <c r="AB16" s="316"/>
      <c r="AC16" s="316" t="s">
        <v>486</v>
      </c>
      <c r="AD16" s="316" t="s">
        <v>529</v>
      </c>
      <c r="AE16" s="316" t="s">
        <v>473</v>
      </c>
      <c r="AF16" s="316"/>
      <c r="AG16" s="316" t="s">
        <v>510</v>
      </c>
      <c r="AH16" s="316" t="s">
        <v>516</v>
      </c>
      <c r="AI16" s="316"/>
      <c r="AJ16" s="331">
        <v>0.51</v>
      </c>
      <c r="AK16" s="318"/>
    </row>
    <row r="17" spans="1:37" ht="15.75">
      <c r="A17" s="11"/>
      <c r="B17" s="35" t="s">
        <v>70</v>
      </c>
      <c r="C17" s="34"/>
      <c r="D17" s="34"/>
      <c r="E17" s="34"/>
      <c r="F17" s="33"/>
      <c r="G17" s="37">
        <f>Statements!H18</f>
        <v>1308052.9863763447</v>
      </c>
      <c r="H17" s="384"/>
      <c r="I17" s="379">
        <f>Statements!I18</f>
        <v>1292203.7781713926</v>
      </c>
      <c r="J17" s="20"/>
      <c r="K17" s="33"/>
      <c r="L17" s="33"/>
      <c r="M17" s="319"/>
      <c r="N17" s="293" t="s">
        <v>530</v>
      </c>
      <c r="O17" s="293"/>
      <c r="P17" s="293"/>
      <c r="Q17" s="293"/>
      <c r="R17" s="293"/>
      <c r="S17" s="332"/>
      <c r="T17" s="333"/>
      <c r="U17" s="314"/>
      <c r="V17" s="314"/>
      <c r="W17" s="314"/>
      <c r="X17" s="315"/>
      <c r="Y17" s="316"/>
      <c r="Z17" s="316"/>
      <c r="AA17" s="316"/>
      <c r="AB17" s="316"/>
      <c r="AC17" s="316" t="s">
        <v>500</v>
      </c>
      <c r="AD17" s="316" t="s">
        <v>531</v>
      </c>
      <c r="AE17" s="316" t="s">
        <v>474</v>
      </c>
      <c r="AF17" s="316"/>
      <c r="AG17" s="316"/>
      <c r="AH17" s="316"/>
      <c r="AI17" s="316"/>
      <c r="AJ17" s="334"/>
      <c r="AK17" s="318"/>
    </row>
    <row r="18" spans="1:37" ht="15.75">
      <c r="A18" s="11"/>
      <c r="B18" s="35" t="s">
        <v>68</v>
      </c>
      <c r="C18" s="34"/>
      <c r="D18" s="34"/>
      <c r="E18" s="34"/>
      <c r="F18" s="33"/>
      <c r="G18" s="37">
        <f>Statements!D18</f>
        <v>1599900</v>
      </c>
      <c r="H18" s="384">
        <f>G17/G18</f>
        <v>0.8175842154986841</v>
      </c>
      <c r="I18" s="379">
        <f>Statements!E18</f>
        <v>1571491.4545962843</v>
      </c>
      <c r="J18" s="352">
        <f>I17/I18</f>
        <v>0.8222785904383804</v>
      </c>
      <c r="K18" s="33"/>
      <c r="L18" s="33"/>
      <c r="M18" s="319"/>
      <c r="N18" s="293"/>
      <c r="O18" s="351" t="s">
        <v>571</v>
      </c>
      <c r="P18" s="293"/>
      <c r="Q18" s="293">
        <v>0.3</v>
      </c>
      <c r="R18" s="293"/>
      <c r="S18" s="332"/>
      <c r="T18" s="333"/>
      <c r="U18" s="314"/>
      <c r="V18" s="314"/>
      <c r="W18" s="314"/>
      <c r="X18" s="315"/>
      <c r="Y18" s="316"/>
      <c r="Z18" s="316"/>
      <c r="AA18" s="316"/>
      <c r="AB18" s="316"/>
      <c r="AC18" s="316"/>
      <c r="AD18" s="316"/>
      <c r="AE18" s="316"/>
      <c r="AF18" s="316"/>
      <c r="AG18" s="316"/>
      <c r="AH18" s="316"/>
      <c r="AI18" s="316"/>
      <c r="AJ18" s="334"/>
      <c r="AK18" s="318"/>
    </row>
    <row r="19" spans="1:37" ht="15.75">
      <c r="A19" s="17" t="s">
        <v>71</v>
      </c>
      <c r="B19" s="33"/>
      <c r="C19" s="33"/>
      <c r="D19" s="33"/>
      <c r="E19" s="33"/>
      <c r="F19" s="33"/>
      <c r="G19" s="37"/>
      <c r="H19" s="384"/>
      <c r="I19" s="379"/>
      <c r="J19" s="20"/>
      <c r="K19" s="33"/>
      <c r="L19" s="33"/>
      <c r="M19" s="319"/>
      <c r="N19" s="293"/>
      <c r="O19" s="293"/>
      <c r="P19" s="293"/>
      <c r="Q19" s="354">
        <v>0.7</v>
      </c>
      <c r="R19" s="293"/>
      <c r="S19" s="332"/>
      <c r="T19" s="333"/>
      <c r="U19" s="314"/>
      <c r="V19" s="314"/>
      <c r="W19" s="314"/>
      <c r="X19" s="315"/>
      <c r="Y19" s="316"/>
      <c r="Z19" s="316"/>
      <c r="AA19" s="316"/>
      <c r="AB19" s="316"/>
      <c r="AC19" s="316"/>
      <c r="AD19" s="316"/>
      <c r="AE19" s="316"/>
      <c r="AF19" s="316"/>
      <c r="AG19" s="316"/>
      <c r="AH19" s="316"/>
      <c r="AI19" s="316"/>
      <c r="AJ19" s="334"/>
      <c r="AK19" s="318"/>
    </row>
    <row r="20" spans="1:37" ht="15.75">
      <c r="A20" s="33"/>
      <c r="B20" s="35" t="s">
        <v>67</v>
      </c>
      <c r="C20" s="34"/>
      <c r="D20" s="34"/>
      <c r="E20" s="34"/>
      <c r="F20" s="33"/>
      <c r="G20" s="37">
        <f>Statements!H17</f>
        <v>291847.01362365537</v>
      </c>
      <c r="H20" s="384"/>
      <c r="I20" s="379">
        <f>Statements!I17</f>
        <v>279287.6764248917</v>
      </c>
      <c r="J20" s="20"/>
      <c r="K20" s="33"/>
      <c r="L20" s="33"/>
      <c r="M20" s="319"/>
      <c r="N20" s="293"/>
      <c r="O20" s="293"/>
      <c r="P20" s="293"/>
      <c r="Q20" s="293"/>
      <c r="R20" s="293"/>
      <c r="S20" s="332"/>
      <c r="T20" s="333"/>
      <c r="U20" s="314"/>
      <c r="V20" s="314"/>
      <c r="W20" s="314"/>
      <c r="X20" s="315"/>
      <c r="Y20" s="316"/>
      <c r="Z20" s="316"/>
      <c r="AA20" s="316"/>
      <c r="AB20" s="316"/>
      <c r="AC20" s="316"/>
      <c r="AD20" s="316"/>
      <c r="AE20" s="316"/>
      <c r="AF20" s="316"/>
      <c r="AG20" s="316"/>
      <c r="AH20" s="316"/>
      <c r="AI20" s="316"/>
      <c r="AJ20" s="334"/>
      <c r="AK20" s="318"/>
    </row>
    <row r="21" spans="1:37" ht="15.75">
      <c r="A21" s="33"/>
      <c r="B21" s="35" t="s">
        <v>72</v>
      </c>
      <c r="C21" s="34"/>
      <c r="D21" s="34"/>
      <c r="E21" s="34"/>
      <c r="F21" s="33"/>
      <c r="G21" s="37">
        <f>Statements!H18</f>
        <v>1308052.9863763447</v>
      </c>
      <c r="H21" s="382">
        <f>G20/G21</f>
        <v>0.22311558986012436</v>
      </c>
      <c r="I21" s="379">
        <f>Statements!I18</f>
        <v>1292203.7781713926</v>
      </c>
      <c r="J21" s="352">
        <f>I20/I21</f>
        <v>0.21613284308773173</v>
      </c>
      <c r="K21" s="33"/>
      <c r="L21" s="33"/>
      <c r="M21" s="319" t="s">
        <v>502</v>
      </c>
      <c r="N21" s="293" t="s">
        <v>69</v>
      </c>
      <c r="O21" s="293"/>
      <c r="P21" s="293"/>
      <c r="Q21" s="293"/>
      <c r="R21" s="293"/>
      <c r="S21" s="329">
        <v>0.7657</v>
      </c>
      <c r="T21" s="330">
        <v>0.7725</v>
      </c>
      <c r="U21" s="314" t="s">
        <v>462</v>
      </c>
      <c r="V21" s="314" t="s">
        <v>504</v>
      </c>
      <c r="W21" s="314" t="s">
        <v>463</v>
      </c>
      <c r="X21" s="315"/>
      <c r="Y21" s="322" t="s">
        <v>474</v>
      </c>
      <c r="Z21" s="316" t="s">
        <v>475</v>
      </c>
      <c r="AA21" s="316" t="s">
        <v>476</v>
      </c>
      <c r="AB21" s="316"/>
      <c r="AC21" s="316" t="s">
        <v>494</v>
      </c>
      <c r="AD21" s="316" t="s">
        <v>532</v>
      </c>
      <c r="AE21" s="316" t="s">
        <v>476</v>
      </c>
      <c r="AF21" s="316"/>
      <c r="AG21" s="316"/>
      <c r="AH21" s="335"/>
      <c r="AI21" s="316"/>
      <c r="AJ21" s="331">
        <v>0.49</v>
      </c>
      <c r="AK21" s="318"/>
    </row>
    <row r="22" spans="1:37" ht="19.5">
      <c r="A22" s="21" t="s">
        <v>73</v>
      </c>
      <c r="B22" s="36"/>
      <c r="C22" s="36"/>
      <c r="D22" s="36"/>
      <c r="E22" s="36"/>
      <c r="F22" s="36"/>
      <c r="G22" s="39"/>
      <c r="H22" s="36"/>
      <c r="I22" s="36"/>
      <c r="J22" s="36"/>
      <c r="K22" s="33"/>
      <c r="L22" s="33"/>
      <c r="M22" s="319"/>
      <c r="N22" s="293" t="s">
        <v>533</v>
      </c>
      <c r="O22" s="293"/>
      <c r="P22" s="293"/>
      <c r="Q22" s="293"/>
      <c r="R22" s="293"/>
      <c r="S22" s="336"/>
      <c r="T22" s="337"/>
      <c r="U22" s="314"/>
      <c r="V22" s="314"/>
      <c r="W22" s="314"/>
      <c r="X22" s="315"/>
      <c r="Y22" s="322"/>
      <c r="Z22" s="316"/>
      <c r="AA22" s="316"/>
      <c r="AB22" s="316"/>
      <c r="AC22" s="316" t="s">
        <v>474</v>
      </c>
      <c r="AD22" s="316" t="s">
        <v>531</v>
      </c>
      <c r="AE22" s="316" t="s">
        <v>500</v>
      </c>
      <c r="AF22" s="316"/>
      <c r="AG22" s="316"/>
      <c r="AH22" s="335"/>
      <c r="AI22" s="316"/>
      <c r="AJ22" s="334"/>
      <c r="AK22" s="318"/>
    </row>
    <row r="23" spans="1:37" ht="15.75">
      <c r="A23" s="17" t="s">
        <v>74</v>
      </c>
      <c r="B23" s="33"/>
      <c r="C23" s="33"/>
      <c r="D23" s="33"/>
      <c r="E23" s="33"/>
      <c r="F23" s="33"/>
      <c r="G23" s="33"/>
      <c r="H23" s="33"/>
      <c r="I23" s="33"/>
      <c r="J23" s="33"/>
      <c r="K23" s="33"/>
      <c r="L23" s="33"/>
      <c r="M23" s="319"/>
      <c r="N23" s="293"/>
      <c r="O23" s="351" t="s">
        <v>571</v>
      </c>
      <c r="P23" s="293"/>
      <c r="Q23" s="293">
        <v>0.4</v>
      </c>
      <c r="R23" s="293"/>
      <c r="S23" s="336"/>
      <c r="T23" s="337"/>
      <c r="U23" s="314"/>
      <c r="V23" s="314"/>
      <c r="W23" s="314"/>
      <c r="X23" s="315"/>
      <c r="Y23" s="322"/>
      <c r="Z23" s="316"/>
      <c r="AA23" s="316"/>
      <c r="AB23" s="316"/>
      <c r="AC23" s="316"/>
      <c r="AD23" s="316"/>
      <c r="AE23" s="316"/>
      <c r="AF23" s="316"/>
      <c r="AG23" s="316"/>
      <c r="AH23" s="335"/>
      <c r="AI23" s="316"/>
      <c r="AJ23" s="334"/>
      <c r="AK23" s="318"/>
    </row>
    <row r="24" spans="1:37" ht="15.75">
      <c r="A24" s="13"/>
      <c r="B24" s="35" t="s">
        <v>75</v>
      </c>
      <c r="C24" s="34"/>
      <c r="D24" s="34"/>
      <c r="E24" s="34"/>
      <c r="F24" s="34"/>
      <c r="G24" s="34"/>
      <c r="H24" s="34"/>
      <c r="I24" s="37">
        <f>Statements!O22</f>
        <v>29150.79179504799</v>
      </c>
      <c r="J24" s="33"/>
      <c r="K24" s="33"/>
      <c r="L24" s="33"/>
      <c r="M24" s="319"/>
      <c r="N24" s="293"/>
      <c r="O24" s="293"/>
      <c r="P24" s="293"/>
      <c r="Q24" s="293">
        <v>0.7</v>
      </c>
      <c r="R24" s="293"/>
      <c r="S24" s="336"/>
      <c r="T24" s="337"/>
      <c r="U24" s="314"/>
      <c r="V24" s="314"/>
      <c r="W24" s="314"/>
      <c r="X24" s="315"/>
      <c r="Y24" s="322"/>
      <c r="Z24" s="316"/>
      <c r="AA24" s="316"/>
      <c r="AB24" s="316"/>
      <c r="AC24" s="316"/>
      <c r="AD24" s="316"/>
      <c r="AE24" s="316"/>
      <c r="AF24" s="316"/>
      <c r="AG24" s="316"/>
      <c r="AH24" s="335"/>
      <c r="AI24" s="316"/>
      <c r="AJ24" s="334"/>
      <c r="AK24" s="318"/>
    </row>
    <row r="25" spans="1:37" ht="15.75">
      <c r="A25" s="13"/>
      <c r="B25" s="35" t="s">
        <v>76</v>
      </c>
      <c r="C25" s="34"/>
      <c r="D25" s="34"/>
      <c r="E25" s="34"/>
      <c r="F25" s="34"/>
      <c r="G25" s="34"/>
      <c r="H25" s="34"/>
      <c r="I25" s="37">
        <f>Statements!O17+Statements!O18+Statements!O19</f>
        <v>16753.947904951994</v>
      </c>
      <c r="J25" s="33"/>
      <c r="K25" s="33"/>
      <c r="L25" s="33"/>
      <c r="M25" s="319"/>
      <c r="N25" s="293"/>
      <c r="O25" s="293"/>
      <c r="P25" s="293"/>
      <c r="Q25" s="293"/>
      <c r="R25" s="293"/>
      <c r="S25" s="336"/>
      <c r="T25" s="337"/>
      <c r="U25" s="314"/>
      <c r="V25" s="314"/>
      <c r="W25" s="314"/>
      <c r="X25" s="315"/>
      <c r="Y25" s="322"/>
      <c r="Z25" s="316"/>
      <c r="AA25" s="316"/>
      <c r="AB25" s="316"/>
      <c r="AC25" s="316"/>
      <c r="AD25" s="316"/>
      <c r="AE25" s="316"/>
      <c r="AF25" s="316"/>
      <c r="AG25" s="316"/>
      <c r="AH25" s="335"/>
      <c r="AI25" s="316"/>
      <c r="AJ25" s="334"/>
      <c r="AK25" s="318"/>
    </row>
    <row r="26" spans="1:37" ht="15.75">
      <c r="A26" s="13"/>
      <c r="B26" s="35" t="s">
        <v>77</v>
      </c>
      <c r="C26" s="34"/>
      <c r="D26" s="34"/>
      <c r="E26" s="34"/>
      <c r="F26" s="34"/>
      <c r="G26" s="34"/>
      <c r="H26" s="34"/>
      <c r="I26" s="37">
        <f>Statements!H43</f>
        <v>25000</v>
      </c>
      <c r="J26" s="33"/>
      <c r="K26" s="33"/>
      <c r="L26" s="33"/>
      <c r="M26" s="319"/>
      <c r="N26" s="293"/>
      <c r="O26" s="293"/>
      <c r="P26" s="293"/>
      <c r="Q26" s="293"/>
      <c r="R26" s="293"/>
      <c r="S26" s="336"/>
      <c r="T26" s="337"/>
      <c r="U26" s="314"/>
      <c r="V26" s="314"/>
      <c r="W26" s="314"/>
      <c r="X26" s="315"/>
      <c r="Y26" s="322"/>
      <c r="Z26" s="316"/>
      <c r="AA26" s="316"/>
      <c r="AB26" s="316"/>
      <c r="AC26" s="316"/>
      <c r="AD26" s="316"/>
      <c r="AE26" s="316"/>
      <c r="AF26" s="316"/>
      <c r="AG26" s="316"/>
      <c r="AH26" s="335"/>
      <c r="AI26" s="316"/>
      <c r="AJ26" s="334"/>
      <c r="AK26" s="318"/>
    </row>
    <row r="27" spans="1:37" ht="15.75">
      <c r="A27" s="13"/>
      <c r="B27" s="35" t="s">
        <v>78</v>
      </c>
      <c r="C27" s="34"/>
      <c r="D27" s="34"/>
      <c r="E27" s="34"/>
      <c r="F27" s="34"/>
      <c r="G27" s="34"/>
      <c r="H27" s="34"/>
      <c r="I27" s="37">
        <f>(G15+I15)/2</f>
        <v>1585695.7272981422</v>
      </c>
      <c r="J27" s="352">
        <f>(I24+I25-I26)/I27</f>
        <v>0.013183323471281247</v>
      </c>
      <c r="K27" s="33"/>
      <c r="L27" s="33"/>
      <c r="M27" s="338" t="s">
        <v>503</v>
      </c>
      <c r="N27" s="293" t="s">
        <v>71</v>
      </c>
      <c r="O27" s="293"/>
      <c r="P27" s="293"/>
      <c r="Q27" s="293"/>
      <c r="R27" s="293"/>
      <c r="S27" s="332">
        <v>0.31</v>
      </c>
      <c r="T27" s="333">
        <v>0.29</v>
      </c>
      <c r="U27" s="314" t="s">
        <v>464</v>
      </c>
      <c r="V27" s="314" t="s">
        <v>468</v>
      </c>
      <c r="W27" s="314" t="s">
        <v>460</v>
      </c>
      <c r="X27" s="315"/>
      <c r="Y27" s="316" t="s">
        <v>498</v>
      </c>
      <c r="Z27" s="316" t="s">
        <v>499</v>
      </c>
      <c r="AA27" s="316" t="s">
        <v>477</v>
      </c>
      <c r="AB27" s="316"/>
      <c r="AC27" s="316" t="s">
        <v>534</v>
      </c>
      <c r="AD27" s="316" t="s">
        <v>535</v>
      </c>
      <c r="AE27" s="316" t="s">
        <v>477</v>
      </c>
      <c r="AF27" s="316"/>
      <c r="AG27" s="316"/>
      <c r="AH27" s="316"/>
      <c r="AI27" s="316"/>
      <c r="AJ27" s="331">
        <v>1.03</v>
      </c>
      <c r="AK27" s="318"/>
    </row>
    <row r="28" spans="1:37" ht="15.75">
      <c r="A28" s="13"/>
      <c r="B28" s="33"/>
      <c r="C28" s="33"/>
      <c r="D28" s="33"/>
      <c r="E28" s="33"/>
      <c r="F28" s="33"/>
      <c r="G28" s="33"/>
      <c r="H28" s="33"/>
      <c r="I28" s="23"/>
      <c r="J28" s="352"/>
      <c r="K28" s="33"/>
      <c r="L28" s="33"/>
      <c r="M28" s="338"/>
      <c r="N28" s="293" t="s">
        <v>536</v>
      </c>
      <c r="O28" s="293"/>
      <c r="P28" s="293"/>
      <c r="Q28" s="293"/>
      <c r="R28" s="293"/>
      <c r="S28" s="332"/>
      <c r="T28" s="333"/>
      <c r="U28" s="314"/>
      <c r="V28" s="314"/>
      <c r="W28" s="314"/>
      <c r="X28" s="315"/>
      <c r="Y28" s="316"/>
      <c r="Z28" s="316"/>
      <c r="AA28" s="316"/>
      <c r="AB28" s="316"/>
      <c r="AC28" s="316" t="s">
        <v>537</v>
      </c>
      <c r="AD28" s="316" t="s">
        <v>538</v>
      </c>
      <c r="AE28" s="316" t="s">
        <v>539</v>
      </c>
      <c r="AF28" s="316"/>
      <c r="AG28" s="316"/>
      <c r="AH28" s="316"/>
      <c r="AI28" s="316"/>
      <c r="AJ28" s="316"/>
      <c r="AK28" s="318"/>
    </row>
    <row r="29" spans="1:37" ht="15.75">
      <c r="A29" s="17" t="s">
        <v>79</v>
      </c>
      <c r="B29" s="33"/>
      <c r="C29" s="33"/>
      <c r="D29" s="33"/>
      <c r="E29" s="33"/>
      <c r="F29" s="33"/>
      <c r="G29" s="33"/>
      <c r="H29" s="33"/>
      <c r="I29" s="23"/>
      <c r="J29" s="352"/>
      <c r="K29" s="33"/>
      <c r="L29" s="33"/>
      <c r="M29" s="338"/>
      <c r="N29" s="293"/>
      <c r="O29" s="351" t="s">
        <v>571</v>
      </c>
      <c r="P29" s="293"/>
      <c r="Q29" s="293">
        <v>0.5</v>
      </c>
      <c r="R29" s="293"/>
      <c r="S29" s="332"/>
      <c r="T29" s="333"/>
      <c r="U29" s="314"/>
      <c r="V29" s="314"/>
      <c r="W29" s="314"/>
      <c r="X29" s="315"/>
      <c r="Y29" s="316"/>
      <c r="Z29" s="316"/>
      <c r="AA29" s="316"/>
      <c r="AB29" s="316"/>
      <c r="AC29" s="316"/>
      <c r="AD29" s="316"/>
      <c r="AE29" s="316"/>
      <c r="AF29" s="316"/>
      <c r="AG29" s="316"/>
      <c r="AH29" s="316"/>
      <c r="AI29" s="316"/>
      <c r="AJ29" s="316"/>
      <c r="AK29" s="318"/>
    </row>
    <row r="30" spans="1:37" ht="15.75">
      <c r="A30" s="13"/>
      <c r="B30" s="35" t="s">
        <v>75</v>
      </c>
      <c r="C30" s="34"/>
      <c r="D30" s="34"/>
      <c r="E30" s="34"/>
      <c r="F30" s="34"/>
      <c r="G30" s="34"/>
      <c r="H30" s="34"/>
      <c r="I30" s="37">
        <f>Statements!O22</f>
        <v>29150.79179504799</v>
      </c>
      <c r="J30" s="352"/>
      <c r="K30" s="33"/>
      <c r="L30" s="33"/>
      <c r="M30" s="338"/>
      <c r="N30" s="293"/>
      <c r="O30" s="293"/>
      <c r="P30" s="293"/>
      <c r="Q30" s="293">
        <v>1.5</v>
      </c>
      <c r="R30" s="293"/>
      <c r="S30" s="332"/>
      <c r="T30" s="333"/>
      <c r="U30" s="314"/>
      <c r="V30" s="314"/>
      <c r="W30" s="314"/>
      <c r="X30" s="315"/>
      <c r="Y30" s="316"/>
      <c r="Z30" s="316"/>
      <c r="AA30" s="316"/>
      <c r="AB30" s="316"/>
      <c r="AC30" s="316"/>
      <c r="AD30" s="316"/>
      <c r="AE30" s="316"/>
      <c r="AF30" s="316"/>
      <c r="AG30" s="316"/>
      <c r="AH30" s="316"/>
      <c r="AI30" s="316"/>
      <c r="AJ30" s="316"/>
      <c r="AK30" s="318"/>
    </row>
    <row r="31" spans="1:37" ht="15.75">
      <c r="A31" s="13"/>
      <c r="B31" s="35" t="s">
        <v>77</v>
      </c>
      <c r="C31" s="34"/>
      <c r="D31" s="34"/>
      <c r="E31" s="34"/>
      <c r="F31" s="34"/>
      <c r="G31" s="34"/>
      <c r="H31" s="34"/>
      <c r="I31" s="37">
        <f>I26</f>
        <v>25000</v>
      </c>
      <c r="J31" s="352"/>
      <c r="K31" s="33"/>
      <c r="L31" s="33"/>
      <c r="M31" s="338"/>
      <c r="N31" s="293"/>
      <c r="O31" s="293"/>
      <c r="P31" s="293"/>
      <c r="Q31" s="293"/>
      <c r="R31" s="293"/>
      <c r="S31" s="332"/>
      <c r="T31" s="333"/>
      <c r="U31" s="314"/>
      <c r="V31" s="314"/>
      <c r="W31" s="314"/>
      <c r="X31" s="315"/>
      <c r="Y31" s="316"/>
      <c r="Z31" s="316"/>
      <c r="AA31" s="316"/>
      <c r="AB31" s="316"/>
      <c r="AC31" s="316"/>
      <c r="AD31" s="316"/>
      <c r="AE31" s="316"/>
      <c r="AF31" s="316"/>
      <c r="AG31" s="316"/>
      <c r="AH31" s="316"/>
      <c r="AI31" s="316"/>
      <c r="AJ31" s="316"/>
      <c r="AK31" s="318"/>
    </row>
    <row r="32" spans="1:37" ht="15.75">
      <c r="A32" s="13"/>
      <c r="B32" s="35" t="s">
        <v>80</v>
      </c>
      <c r="C32" s="34"/>
      <c r="D32" s="34"/>
      <c r="E32" s="34"/>
      <c r="F32" s="34"/>
      <c r="G32" s="34"/>
      <c r="H32" s="34"/>
      <c r="I32" s="37">
        <f>(G21+I21)/2</f>
        <v>1300128.3822738687</v>
      </c>
      <c r="J32" s="352">
        <f>(I30-I31)/I32</f>
        <v>0.0031926014781620514</v>
      </c>
      <c r="K32" s="33"/>
      <c r="L32" s="33"/>
      <c r="M32" s="338"/>
      <c r="N32" s="293"/>
      <c r="O32" s="293"/>
      <c r="P32" s="293"/>
      <c r="Q32" s="293"/>
      <c r="R32" s="293"/>
      <c r="S32" s="332"/>
      <c r="T32" s="333"/>
      <c r="U32" s="314"/>
      <c r="V32" s="314"/>
      <c r="W32" s="314"/>
      <c r="X32" s="315"/>
      <c r="Y32" s="316"/>
      <c r="Z32" s="316"/>
      <c r="AA32" s="316"/>
      <c r="AB32" s="316"/>
      <c r="AC32" s="316"/>
      <c r="AD32" s="316"/>
      <c r="AE32" s="316"/>
      <c r="AF32" s="316"/>
      <c r="AG32" s="316"/>
      <c r="AH32" s="316"/>
      <c r="AI32" s="316"/>
      <c r="AJ32" s="316"/>
      <c r="AK32" s="318"/>
    </row>
    <row r="33" spans="1:37" ht="15.75">
      <c r="A33" s="13"/>
      <c r="B33" s="33"/>
      <c r="C33" s="33"/>
      <c r="D33" s="33"/>
      <c r="E33" s="33"/>
      <c r="F33" s="33"/>
      <c r="G33" s="33"/>
      <c r="H33" s="33"/>
      <c r="I33" s="23"/>
      <c r="J33" s="352"/>
      <c r="K33" s="33"/>
      <c r="L33" s="33"/>
      <c r="M33" s="338"/>
      <c r="N33" s="293"/>
      <c r="O33" s="293"/>
      <c r="P33" s="293"/>
      <c r="Q33" s="293"/>
      <c r="R33" s="293"/>
      <c r="S33" s="332"/>
      <c r="T33" s="333"/>
      <c r="U33" s="314"/>
      <c r="V33" s="314"/>
      <c r="W33" s="314"/>
      <c r="X33" s="315"/>
      <c r="Y33" s="316"/>
      <c r="Z33" s="316"/>
      <c r="AA33" s="316"/>
      <c r="AB33" s="316"/>
      <c r="AC33" s="316"/>
      <c r="AD33" s="316"/>
      <c r="AE33" s="316"/>
      <c r="AF33" s="316"/>
      <c r="AG33" s="316"/>
      <c r="AH33" s="316"/>
      <c r="AI33" s="316"/>
      <c r="AJ33" s="316"/>
      <c r="AK33" s="318"/>
    </row>
    <row r="34" spans="1:37" ht="15.75">
      <c r="A34" s="17" t="s">
        <v>81</v>
      </c>
      <c r="B34" s="33"/>
      <c r="C34" s="33"/>
      <c r="D34" s="33"/>
      <c r="E34" s="33"/>
      <c r="F34" s="33"/>
      <c r="G34" s="33"/>
      <c r="H34" s="33"/>
      <c r="I34" s="23"/>
      <c r="J34" s="352"/>
      <c r="K34" s="33"/>
      <c r="L34" s="33"/>
      <c r="M34" s="319"/>
      <c r="N34" s="326" t="s">
        <v>73</v>
      </c>
      <c r="O34" s="309"/>
      <c r="P34" s="309"/>
      <c r="Q34" s="309"/>
      <c r="R34" s="309"/>
      <c r="S34" s="327"/>
      <c r="T34" s="339"/>
      <c r="U34" s="315"/>
      <c r="V34" s="315"/>
      <c r="W34" s="315"/>
      <c r="X34" s="315"/>
      <c r="Y34" s="316"/>
      <c r="Z34" s="316"/>
      <c r="AA34" s="316"/>
      <c r="AB34" s="316"/>
      <c r="AC34" s="316"/>
      <c r="AD34" s="316"/>
      <c r="AE34" s="316"/>
      <c r="AF34" s="316"/>
      <c r="AG34" s="316"/>
      <c r="AH34" s="316"/>
      <c r="AI34" s="316"/>
      <c r="AJ34" s="316"/>
      <c r="AK34" s="318"/>
    </row>
    <row r="35" spans="1:37" ht="15.75">
      <c r="A35" s="13"/>
      <c r="B35" s="35" t="s">
        <v>75</v>
      </c>
      <c r="C35" s="34"/>
      <c r="D35" s="34"/>
      <c r="E35" s="34"/>
      <c r="F35" s="34"/>
      <c r="G35" s="34"/>
      <c r="H35" s="34"/>
      <c r="I35" s="37">
        <f>I30</f>
        <v>29150.79179504799</v>
      </c>
      <c r="J35" s="352"/>
      <c r="K35" s="33"/>
      <c r="L35" s="33"/>
      <c r="M35" s="319" t="s">
        <v>502</v>
      </c>
      <c r="N35" s="293" t="s">
        <v>74</v>
      </c>
      <c r="O35" s="293"/>
      <c r="P35" s="293"/>
      <c r="Q35" s="293"/>
      <c r="R35" s="293"/>
      <c r="S35" s="336"/>
      <c r="T35" s="330">
        <v>0.0294</v>
      </c>
      <c r="U35" s="335"/>
      <c r="V35" s="335"/>
      <c r="W35" s="335"/>
      <c r="X35" s="335"/>
      <c r="Y35" s="316" t="s">
        <v>478</v>
      </c>
      <c r="Z35" s="316" t="s">
        <v>479</v>
      </c>
      <c r="AA35" s="316" t="s">
        <v>480</v>
      </c>
      <c r="AB35" s="316"/>
      <c r="AC35" s="316" t="s">
        <v>478</v>
      </c>
      <c r="AD35" s="316" t="s">
        <v>479</v>
      </c>
      <c r="AE35" s="316" t="s">
        <v>480</v>
      </c>
      <c r="AF35" s="316"/>
      <c r="AG35" s="316" t="s">
        <v>515</v>
      </c>
      <c r="AH35" s="316" t="s">
        <v>514</v>
      </c>
      <c r="AI35" s="316"/>
      <c r="AJ35" s="340">
        <v>0.07</v>
      </c>
      <c r="AK35" s="318"/>
    </row>
    <row r="36" spans="1:37" ht="15.75">
      <c r="A36" s="13"/>
      <c r="B36" s="35" t="s">
        <v>76</v>
      </c>
      <c r="C36" s="34"/>
      <c r="D36" s="34"/>
      <c r="E36" s="34"/>
      <c r="F36" s="34"/>
      <c r="G36" s="34"/>
      <c r="H36" s="34"/>
      <c r="I36" s="37">
        <f>I25</f>
        <v>16753.947904951994</v>
      </c>
      <c r="J36" s="352"/>
      <c r="K36" s="33"/>
      <c r="L36" s="33"/>
      <c r="M36" s="319"/>
      <c r="N36" s="293" t="s">
        <v>540</v>
      </c>
      <c r="O36" s="293"/>
      <c r="P36" s="293"/>
      <c r="Q36" s="293"/>
      <c r="R36" s="293"/>
      <c r="S36" s="336"/>
      <c r="T36" s="333"/>
      <c r="U36" s="335"/>
      <c r="V36" s="335"/>
      <c r="W36" s="335"/>
      <c r="X36" s="335"/>
      <c r="Y36" s="316"/>
      <c r="Z36" s="316"/>
      <c r="AA36" s="316"/>
      <c r="AB36" s="316"/>
      <c r="AC36" s="316" t="s">
        <v>541</v>
      </c>
      <c r="AD36" s="316" t="s">
        <v>542</v>
      </c>
      <c r="AE36" s="316" t="s">
        <v>543</v>
      </c>
      <c r="AF36" s="316"/>
      <c r="AG36" s="316"/>
      <c r="AH36" s="316"/>
      <c r="AI36" s="316"/>
      <c r="AJ36" s="334"/>
      <c r="AK36" s="318"/>
    </row>
    <row r="37" spans="1:37" ht="15.75">
      <c r="A37" s="13"/>
      <c r="B37" s="35" t="s">
        <v>77</v>
      </c>
      <c r="C37" s="34"/>
      <c r="D37" s="34"/>
      <c r="E37" s="34"/>
      <c r="F37" s="34"/>
      <c r="G37" s="34"/>
      <c r="H37" s="34"/>
      <c r="I37" s="37">
        <f>I31</f>
        <v>25000</v>
      </c>
      <c r="J37" s="352"/>
      <c r="K37" s="33"/>
      <c r="L37" s="33"/>
      <c r="M37" s="319"/>
      <c r="N37" s="293"/>
      <c r="O37" s="351" t="s">
        <v>571</v>
      </c>
      <c r="P37" s="293"/>
      <c r="Q37" s="293">
        <v>0.01</v>
      </c>
      <c r="R37" s="293"/>
      <c r="S37" s="336"/>
      <c r="T37" s="333"/>
      <c r="U37" s="335"/>
      <c r="V37" s="335"/>
      <c r="W37" s="335"/>
      <c r="X37" s="335"/>
      <c r="Y37" s="316"/>
      <c r="Z37" s="316"/>
      <c r="AA37" s="316"/>
      <c r="AB37" s="316"/>
      <c r="AC37" s="316"/>
      <c r="AD37" s="316"/>
      <c r="AE37" s="316"/>
      <c r="AF37" s="316"/>
      <c r="AG37" s="316"/>
      <c r="AH37" s="316"/>
      <c r="AI37" s="316"/>
      <c r="AJ37" s="334"/>
      <c r="AK37" s="318"/>
    </row>
    <row r="38" spans="1:37" ht="15.75">
      <c r="A38" s="13"/>
      <c r="B38" s="35" t="s">
        <v>82</v>
      </c>
      <c r="C38" s="34"/>
      <c r="D38" s="34"/>
      <c r="E38" s="34"/>
      <c r="F38" s="34"/>
      <c r="G38" s="34"/>
      <c r="H38" s="34"/>
      <c r="I38" s="37">
        <f>Statements!O10</f>
        <v>358424.31645</v>
      </c>
      <c r="J38" s="352">
        <f>(I35+I36-I37)/I38</f>
        <v>0.058323999629964235</v>
      </c>
      <c r="K38" s="33"/>
      <c r="L38" s="33"/>
      <c r="M38" s="319"/>
      <c r="N38" s="293"/>
      <c r="O38" s="293"/>
      <c r="P38" s="293"/>
      <c r="Q38" s="293">
        <v>0.05</v>
      </c>
      <c r="R38" s="293"/>
      <c r="S38" s="336"/>
      <c r="T38" s="333"/>
      <c r="U38" s="335"/>
      <c r="V38" s="335"/>
      <c r="W38" s="335"/>
      <c r="X38" s="335"/>
      <c r="Y38" s="316"/>
      <c r="Z38" s="316"/>
      <c r="AA38" s="316"/>
      <c r="AB38" s="316"/>
      <c r="AC38" s="316"/>
      <c r="AD38" s="316"/>
      <c r="AE38" s="316"/>
      <c r="AF38" s="316"/>
      <c r="AG38" s="316"/>
      <c r="AH38" s="316"/>
      <c r="AI38" s="316"/>
      <c r="AJ38" s="334"/>
      <c r="AK38" s="318"/>
    </row>
    <row r="39" spans="1:37" ht="15.75">
      <c r="A39" s="13"/>
      <c r="B39" s="33"/>
      <c r="C39" s="33"/>
      <c r="D39" s="33"/>
      <c r="E39" s="33"/>
      <c r="F39" s="33"/>
      <c r="G39" s="33"/>
      <c r="H39" s="33"/>
      <c r="I39" s="33"/>
      <c r="J39" s="352"/>
      <c r="K39" s="33"/>
      <c r="L39" s="33"/>
      <c r="M39" s="319"/>
      <c r="N39" s="293"/>
      <c r="O39" s="293"/>
      <c r="P39" s="293"/>
      <c r="Q39" s="293"/>
      <c r="R39" s="293"/>
      <c r="S39" s="336"/>
      <c r="T39" s="333"/>
      <c r="U39" s="335"/>
      <c r="V39" s="335"/>
      <c r="W39" s="335"/>
      <c r="X39" s="335"/>
      <c r="Y39" s="316"/>
      <c r="Z39" s="316"/>
      <c r="AA39" s="316"/>
      <c r="AB39" s="316"/>
      <c r="AC39" s="316"/>
      <c r="AD39" s="316"/>
      <c r="AE39" s="316"/>
      <c r="AF39" s="316"/>
      <c r="AG39" s="316"/>
      <c r="AH39" s="316"/>
      <c r="AI39" s="316"/>
      <c r="AJ39" s="334"/>
      <c r="AK39" s="318"/>
    </row>
    <row r="40" spans="1:37" ht="15.75">
      <c r="A40" s="17" t="s">
        <v>83</v>
      </c>
      <c r="B40" s="33"/>
      <c r="C40" s="33"/>
      <c r="D40" s="33"/>
      <c r="E40" s="33"/>
      <c r="F40" s="33"/>
      <c r="G40" s="33"/>
      <c r="H40" s="33"/>
      <c r="I40" s="33"/>
      <c r="J40" s="33"/>
      <c r="K40" s="33"/>
      <c r="L40" s="33"/>
      <c r="M40" s="319"/>
      <c r="N40" s="293"/>
      <c r="O40" s="293"/>
      <c r="P40" s="293"/>
      <c r="Q40" s="293"/>
      <c r="R40" s="293"/>
      <c r="S40" s="336"/>
      <c r="T40" s="333"/>
      <c r="U40" s="335"/>
      <c r="V40" s="335"/>
      <c r="W40" s="335"/>
      <c r="X40" s="335"/>
      <c r="Y40" s="316"/>
      <c r="Z40" s="316"/>
      <c r="AA40" s="316"/>
      <c r="AB40" s="316"/>
      <c r="AC40" s="316"/>
      <c r="AD40" s="316"/>
      <c r="AE40" s="316"/>
      <c r="AF40" s="316"/>
      <c r="AG40" s="316"/>
      <c r="AH40" s="316"/>
      <c r="AI40" s="316"/>
      <c r="AJ40" s="334"/>
      <c r="AK40" s="318"/>
    </row>
    <row r="41" spans="1:37" ht="15.75">
      <c r="A41" s="11"/>
      <c r="B41" s="35" t="s">
        <v>84</v>
      </c>
      <c r="C41" s="34"/>
      <c r="D41" s="34"/>
      <c r="E41" s="34"/>
      <c r="F41" s="34"/>
      <c r="G41" s="34"/>
      <c r="H41" s="34"/>
      <c r="I41" s="33"/>
      <c r="J41" s="33"/>
      <c r="K41" s="33"/>
      <c r="L41" s="33"/>
      <c r="M41" s="319" t="s">
        <v>502</v>
      </c>
      <c r="N41" s="293" t="s">
        <v>79</v>
      </c>
      <c r="O41" s="293"/>
      <c r="P41" s="293"/>
      <c r="Q41" s="293"/>
      <c r="R41" s="293"/>
      <c r="S41" s="336"/>
      <c r="T41" s="330">
        <v>0.0188</v>
      </c>
      <c r="U41" s="335"/>
      <c r="V41" s="335"/>
      <c r="W41" s="335"/>
      <c r="X41" s="335"/>
      <c r="Y41" s="316" t="s">
        <v>481</v>
      </c>
      <c r="Z41" s="316" t="s">
        <v>482</v>
      </c>
      <c r="AA41" s="316" t="s">
        <v>483</v>
      </c>
      <c r="AB41" s="316"/>
      <c r="AC41" s="609" t="s">
        <v>629</v>
      </c>
      <c r="AD41" s="609"/>
      <c r="AE41" s="609"/>
      <c r="AF41" s="316"/>
      <c r="AG41" s="316" t="s">
        <v>513</v>
      </c>
      <c r="AH41" s="316" t="s">
        <v>512</v>
      </c>
      <c r="AI41" s="316"/>
      <c r="AJ41" s="340">
        <v>0.073</v>
      </c>
      <c r="AK41" s="318"/>
    </row>
    <row r="42" spans="1:37" ht="15.75">
      <c r="A42" s="33"/>
      <c r="B42" s="35" t="s">
        <v>85</v>
      </c>
      <c r="C42" s="34"/>
      <c r="D42" s="34"/>
      <c r="E42" s="34"/>
      <c r="F42" s="34"/>
      <c r="G42" s="34"/>
      <c r="H42" s="34"/>
      <c r="I42" s="33"/>
      <c r="J42" s="19">
        <f>Statements!O23</f>
        <v>29150.79179504799</v>
      </c>
      <c r="K42" s="33"/>
      <c r="L42" s="33"/>
      <c r="M42" s="319"/>
      <c r="N42" s="293"/>
      <c r="O42" s="351" t="s">
        <v>571</v>
      </c>
      <c r="P42" s="293"/>
      <c r="Q42" s="293">
        <v>0.05</v>
      </c>
      <c r="R42" s="293"/>
      <c r="S42" s="336"/>
      <c r="T42" s="330"/>
      <c r="U42" s="335"/>
      <c r="V42" s="335"/>
      <c r="W42" s="335"/>
      <c r="X42" s="335"/>
      <c r="Y42" s="316"/>
      <c r="Z42" s="316"/>
      <c r="AA42" s="316"/>
      <c r="AB42" s="316"/>
      <c r="AC42" s="323"/>
      <c r="AD42" s="323"/>
      <c r="AE42" s="323"/>
      <c r="AF42" s="316"/>
      <c r="AG42" s="316"/>
      <c r="AH42" s="316"/>
      <c r="AI42" s="316"/>
      <c r="AJ42" s="340"/>
      <c r="AK42" s="318"/>
    </row>
    <row r="43" spans="1:37" ht="15.75">
      <c r="A43" s="33"/>
      <c r="B43" s="33"/>
      <c r="C43" s="33"/>
      <c r="D43" s="33"/>
      <c r="E43" s="33"/>
      <c r="F43" s="33"/>
      <c r="G43" s="33"/>
      <c r="H43" s="33"/>
      <c r="I43" s="33"/>
      <c r="J43" s="33"/>
      <c r="K43" s="33"/>
      <c r="L43" s="33"/>
      <c r="M43" s="319"/>
      <c r="N43" s="293"/>
      <c r="O43" s="293"/>
      <c r="P43" s="293"/>
      <c r="Q43" s="293">
        <v>0.1</v>
      </c>
      <c r="R43" s="293"/>
      <c r="S43" s="336"/>
      <c r="T43" s="330"/>
      <c r="U43" s="335"/>
      <c r="V43" s="335"/>
      <c r="W43" s="335"/>
      <c r="X43" s="335"/>
      <c r="Y43" s="316"/>
      <c r="Z43" s="316"/>
      <c r="AA43" s="316"/>
      <c r="AB43" s="316"/>
      <c r="AC43" s="323"/>
      <c r="AD43" s="323"/>
      <c r="AE43" s="323"/>
      <c r="AF43" s="316"/>
      <c r="AG43" s="316"/>
      <c r="AH43" s="316"/>
      <c r="AI43" s="316"/>
      <c r="AJ43" s="340"/>
      <c r="AK43" s="318"/>
    </row>
    <row r="44" spans="1:37" ht="19.5">
      <c r="A44" s="16" t="s">
        <v>86</v>
      </c>
      <c r="B44" s="36"/>
      <c r="C44" s="36"/>
      <c r="D44" s="36"/>
      <c r="E44" s="36"/>
      <c r="F44" s="36"/>
      <c r="G44" s="36"/>
      <c r="H44" s="36"/>
      <c r="I44" s="36"/>
      <c r="J44" s="36"/>
      <c r="K44" s="33"/>
      <c r="L44" s="33"/>
      <c r="M44" s="319"/>
      <c r="N44" s="293"/>
      <c r="O44" s="293"/>
      <c r="P44" s="293"/>
      <c r="Q44" s="293"/>
      <c r="R44" s="293"/>
      <c r="S44" s="336"/>
      <c r="T44" s="330"/>
      <c r="U44" s="335"/>
      <c r="V44" s="335"/>
      <c r="W44" s="335"/>
      <c r="X44" s="335"/>
      <c r="Y44" s="316"/>
      <c r="Z44" s="316"/>
      <c r="AA44" s="316"/>
      <c r="AB44" s="316"/>
      <c r="AC44" s="323"/>
      <c r="AD44" s="323"/>
      <c r="AE44" s="323"/>
      <c r="AF44" s="316"/>
      <c r="AG44" s="316"/>
      <c r="AH44" s="316"/>
      <c r="AI44" s="316"/>
      <c r="AJ44" s="340"/>
      <c r="AK44" s="318"/>
    </row>
    <row r="45" spans="1:37" ht="15.75">
      <c r="A45" s="17" t="s">
        <v>87</v>
      </c>
      <c r="B45" s="33"/>
      <c r="C45" s="33"/>
      <c r="D45" s="33"/>
      <c r="E45" s="33"/>
      <c r="F45" s="33"/>
      <c r="G45" s="33"/>
      <c r="H45" s="33"/>
      <c r="I45" s="33"/>
      <c r="J45" s="33"/>
      <c r="K45" s="33"/>
      <c r="L45" s="33"/>
      <c r="M45" s="341" t="s">
        <v>502</v>
      </c>
      <c r="N45" s="293" t="s">
        <v>81</v>
      </c>
      <c r="O45" s="293"/>
      <c r="P45" s="293"/>
      <c r="Q45" s="293"/>
      <c r="R45" s="293"/>
      <c r="S45" s="336"/>
      <c r="T45" s="330">
        <v>0.1122</v>
      </c>
      <c r="U45" s="335"/>
      <c r="V45" s="335"/>
      <c r="W45" s="335"/>
      <c r="X45" s="335"/>
      <c r="Y45" s="316" t="s">
        <v>484</v>
      </c>
      <c r="Z45" s="316" t="s">
        <v>485</v>
      </c>
      <c r="AA45" s="316" t="s">
        <v>486</v>
      </c>
      <c r="AB45" s="316"/>
      <c r="AC45" s="316" t="s">
        <v>544</v>
      </c>
      <c r="AD45" s="316" t="s">
        <v>545</v>
      </c>
      <c r="AE45" s="316" t="s">
        <v>495</v>
      </c>
      <c r="AF45" s="316"/>
      <c r="AG45" s="316" t="s">
        <v>511</v>
      </c>
      <c r="AH45" s="316" t="s">
        <v>510</v>
      </c>
      <c r="AI45" s="316"/>
      <c r="AJ45" s="340">
        <v>0.162</v>
      </c>
      <c r="AK45" s="318"/>
    </row>
    <row r="46" spans="1:37" ht="15.75">
      <c r="A46" s="13"/>
      <c r="B46" s="35" t="s">
        <v>75</v>
      </c>
      <c r="C46" s="34"/>
      <c r="D46" s="34"/>
      <c r="E46" s="34"/>
      <c r="F46" s="34"/>
      <c r="G46" s="34"/>
      <c r="H46" s="34"/>
      <c r="I46" s="37">
        <f>I35</f>
        <v>29150.79179504799</v>
      </c>
      <c r="J46" s="33"/>
      <c r="K46" s="33"/>
      <c r="L46" s="33"/>
      <c r="M46" s="341"/>
      <c r="N46" s="293"/>
      <c r="O46" s="351" t="s">
        <v>571</v>
      </c>
      <c r="P46" s="293"/>
      <c r="Q46" s="293">
        <v>0.2</v>
      </c>
      <c r="R46" s="293"/>
      <c r="S46" s="336"/>
      <c r="T46" s="330"/>
      <c r="U46" s="335"/>
      <c r="V46" s="335"/>
      <c r="W46" s="335"/>
      <c r="X46" s="335"/>
      <c r="Y46" s="316"/>
      <c r="Z46" s="316"/>
      <c r="AA46" s="316"/>
      <c r="AB46" s="316"/>
      <c r="AC46" s="316"/>
      <c r="AD46" s="316"/>
      <c r="AE46" s="316"/>
      <c r="AF46" s="316"/>
      <c r="AG46" s="316"/>
      <c r="AH46" s="316"/>
      <c r="AI46" s="316"/>
      <c r="AJ46" s="340"/>
      <c r="AK46" s="318"/>
    </row>
    <row r="47" spans="1:37" ht="15.75">
      <c r="A47" s="13"/>
      <c r="B47" s="35" t="s">
        <v>88</v>
      </c>
      <c r="C47" s="34"/>
      <c r="D47" s="34"/>
      <c r="E47" s="34"/>
      <c r="F47" s="34"/>
      <c r="G47" s="34"/>
      <c r="H47" s="34"/>
      <c r="I47" s="37">
        <f>Statements!E28</f>
        <v>0</v>
      </c>
      <c r="J47" s="33"/>
      <c r="K47" s="33"/>
      <c r="L47" s="33"/>
      <c r="M47" s="341"/>
      <c r="N47" s="293"/>
      <c r="O47" s="293"/>
      <c r="P47" s="293"/>
      <c r="Q47" s="293">
        <v>0.35</v>
      </c>
      <c r="R47" s="293"/>
      <c r="S47" s="336"/>
      <c r="T47" s="330"/>
      <c r="U47" s="335"/>
      <c r="V47" s="335"/>
      <c r="W47" s="335"/>
      <c r="X47" s="335"/>
      <c r="Y47" s="316"/>
      <c r="Z47" s="316"/>
      <c r="AA47" s="316"/>
      <c r="AB47" s="316"/>
      <c r="AC47" s="316"/>
      <c r="AD47" s="316"/>
      <c r="AE47" s="316"/>
      <c r="AF47" s="316"/>
      <c r="AG47" s="316"/>
      <c r="AH47" s="316"/>
      <c r="AI47" s="316"/>
      <c r="AJ47" s="340"/>
      <c r="AK47" s="318"/>
    </row>
    <row r="48" spans="1:37" ht="15.75">
      <c r="A48" s="13"/>
      <c r="B48" s="35" t="s">
        <v>89</v>
      </c>
      <c r="C48" s="34"/>
      <c r="D48" s="34"/>
      <c r="E48" s="34"/>
      <c r="F48" s="34"/>
      <c r="G48" s="34"/>
      <c r="H48" s="34"/>
      <c r="I48" s="37">
        <f>Statements!O15</f>
        <v>34500</v>
      </c>
      <c r="J48" s="33"/>
      <c r="K48" s="33"/>
      <c r="L48" s="33"/>
      <c r="M48" s="341"/>
      <c r="N48" s="293"/>
      <c r="O48" s="293"/>
      <c r="P48" s="293"/>
      <c r="Q48" s="293"/>
      <c r="R48" s="293"/>
      <c r="S48" s="336"/>
      <c r="T48" s="330"/>
      <c r="U48" s="335"/>
      <c r="V48" s="335"/>
      <c r="W48" s="335"/>
      <c r="X48" s="335"/>
      <c r="Y48" s="316"/>
      <c r="Z48" s="316"/>
      <c r="AA48" s="316"/>
      <c r="AB48" s="316"/>
      <c r="AC48" s="316"/>
      <c r="AD48" s="316"/>
      <c r="AE48" s="316"/>
      <c r="AF48" s="316"/>
      <c r="AG48" s="316"/>
      <c r="AH48" s="316"/>
      <c r="AI48" s="316"/>
      <c r="AJ48" s="340"/>
      <c r="AK48" s="318"/>
    </row>
    <row r="49" spans="1:37" ht="15.75">
      <c r="A49" s="13"/>
      <c r="B49" s="35" t="s">
        <v>90</v>
      </c>
      <c r="C49" s="34"/>
      <c r="D49" s="34"/>
      <c r="E49" s="373"/>
      <c r="F49" s="355"/>
      <c r="G49" s="355"/>
      <c r="H49" s="374"/>
      <c r="I49" s="37">
        <f>Statements!O17</f>
        <v>12539.500790295042</v>
      </c>
      <c r="J49" s="33"/>
      <c r="K49" s="33"/>
      <c r="L49" s="33"/>
      <c r="M49" s="341"/>
      <c r="N49" s="293"/>
      <c r="O49" s="293"/>
      <c r="P49" s="293"/>
      <c r="Q49" s="293"/>
      <c r="R49" s="293"/>
      <c r="S49" s="336"/>
      <c r="T49" s="330"/>
      <c r="U49" s="335"/>
      <c r="V49" s="335"/>
      <c r="W49" s="335"/>
      <c r="X49" s="335"/>
      <c r="Y49" s="316"/>
      <c r="Z49" s="316"/>
      <c r="AA49" s="316"/>
      <c r="AB49" s="316"/>
      <c r="AC49" s="316"/>
      <c r="AD49" s="316"/>
      <c r="AE49" s="316"/>
      <c r="AF49" s="316"/>
      <c r="AG49" s="316"/>
      <c r="AH49" s="316"/>
      <c r="AI49" s="316"/>
      <c r="AJ49" s="340"/>
      <c r="AK49" s="318"/>
    </row>
    <row r="50" spans="1:37" ht="15.75">
      <c r="A50" s="13"/>
      <c r="B50" s="35" t="s">
        <v>91</v>
      </c>
      <c r="C50" s="34"/>
      <c r="D50" s="34"/>
      <c r="E50" s="371"/>
      <c r="F50" s="372"/>
      <c r="G50" s="372"/>
      <c r="H50" s="375"/>
      <c r="I50" s="62"/>
      <c r="J50" s="33"/>
      <c r="K50" s="33"/>
      <c r="L50" s="33"/>
      <c r="M50" s="319" t="s">
        <v>502</v>
      </c>
      <c r="N50" s="293" t="s">
        <v>83</v>
      </c>
      <c r="O50" s="293"/>
      <c r="P50" s="293"/>
      <c r="Q50" s="293"/>
      <c r="R50" s="293"/>
      <c r="S50" s="336"/>
      <c r="T50" s="321">
        <v>47409</v>
      </c>
      <c r="U50" s="335"/>
      <c r="V50" s="335"/>
      <c r="W50" s="335"/>
      <c r="X50" s="335"/>
      <c r="Y50" s="322"/>
      <c r="Z50" s="322"/>
      <c r="AA50" s="322"/>
      <c r="AB50" s="316"/>
      <c r="AC50" s="322"/>
      <c r="AD50" s="322"/>
      <c r="AE50" s="322"/>
      <c r="AF50" s="316"/>
      <c r="AG50" s="316"/>
      <c r="AH50" s="316"/>
      <c r="AI50" s="316"/>
      <c r="AJ50" s="324">
        <v>47559</v>
      </c>
      <c r="AK50" s="318"/>
    </row>
    <row r="51" spans="1:37" ht="15.75">
      <c r="A51" s="13"/>
      <c r="B51" s="35" t="s">
        <v>92</v>
      </c>
      <c r="C51" s="34"/>
      <c r="D51" s="34"/>
      <c r="E51" s="34"/>
      <c r="F51" s="34"/>
      <c r="G51" s="34"/>
      <c r="H51" s="34"/>
      <c r="I51" s="37">
        <f>Statements!O24</f>
        <v>0</v>
      </c>
      <c r="J51" s="33"/>
      <c r="K51" s="33"/>
      <c r="L51" s="33"/>
      <c r="M51" s="319"/>
      <c r="N51" s="293"/>
      <c r="O51" s="351" t="s">
        <v>571</v>
      </c>
      <c r="P51" s="293"/>
      <c r="Q51" s="293">
        <v>30000</v>
      </c>
      <c r="R51" s="293"/>
      <c r="S51" s="336"/>
      <c r="T51" s="321"/>
      <c r="U51" s="335"/>
      <c r="V51" s="335"/>
      <c r="W51" s="335"/>
      <c r="X51" s="335"/>
      <c r="Y51" s="322"/>
      <c r="Z51" s="322"/>
      <c r="AA51" s="322"/>
      <c r="AB51" s="316"/>
      <c r="AC51" s="322"/>
      <c r="AD51" s="322"/>
      <c r="AE51" s="322"/>
      <c r="AF51" s="316"/>
      <c r="AG51" s="316"/>
      <c r="AH51" s="316"/>
      <c r="AI51" s="316"/>
      <c r="AJ51" s="324"/>
      <c r="AK51" s="318"/>
    </row>
    <row r="52" spans="1:37" ht="15.75">
      <c r="A52" s="13"/>
      <c r="B52" s="35" t="s">
        <v>93</v>
      </c>
      <c r="C52" s="34"/>
      <c r="D52" s="34"/>
      <c r="E52" s="34"/>
      <c r="F52" s="34"/>
      <c r="G52" s="34"/>
      <c r="H52" s="34"/>
      <c r="I52" s="37">
        <f>Statements!I29</f>
        <v>45000</v>
      </c>
      <c r="J52" s="38">
        <f>SUM(I46:I49)-I51-I52</f>
        <v>31190.292585343035</v>
      </c>
      <c r="K52" s="33"/>
      <c r="L52" s="33"/>
      <c r="M52" s="319"/>
      <c r="N52" s="293"/>
      <c r="O52" s="293"/>
      <c r="P52" s="293"/>
      <c r="Q52" s="293">
        <v>100000</v>
      </c>
      <c r="R52" s="293"/>
      <c r="S52" s="336"/>
      <c r="T52" s="321"/>
      <c r="U52" s="335"/>
      <c r="V52" s="335"/>
      <c r="W52" s="335"/>
      <c r="X52" s="335"/>
      <c r="Y52" s="322"/>
      <c r="Z52" s="322"/>
      <c r="AA52" s="322"/>
      <c r="AB52" s="316"/>
      <c r="AC52" s="322"/>
      <c r="AD52" s="322"/>
      <c r="AE52" s="322"/>
      <c r="AF52" s="316"/>
      <c r="AG52" s="316"/>
      <c r="AH52" s="316"/>
      <c r="AI52" s="316"/>
      <c r="AJ52" s="324"/>
      <c r="AK52" s="318"/>
    </row>
    <row r="53" spans="1:37" ht="15.75">
      <c r="A53" s="13"/>
      <c r="B53" s="35" t="s">
        <v>94</v>
      </c>
      <c r="C53" s="34"/>
      <c r="D53" s="34"/>
      <c r="E53" s="34"/>
      <c r="F53" s="34"/>
      <c r="G53" s="34"/>
      <c r="H53" s="34"/>
      <c r="I53" s="62"/>
      <c r="J53" s="22"/>
      <c r="K53" s="33"/>
      <c r="L53" s="33"/>
      <c r="M53" s="319"/>
      <c r="N53" s="293"/>
      <c r="O53" s="293"/>
      <c r="P53" s="293"/>
      <c r="Q53" s="293"/>
      <c r="R53" s="293"/>
      <c r="S53" s="336"/>
      <c r="T53" s="321"/>
      <c r="U53" s="335"/>
      <c r="V53" s="335"/>
      <c r="W53" s="335"/>
      <c r="X53" s="335"/>
      <c r="Y53" s="322"/>
      <c r="Z53" s="322"/>
      <c r="AA53" s="322"/>
      <c r="AB53" s="316"/>
      <c r="AC53" s="322"/>
      <c r="AD53" s="322"/>
      <c r="AE53" s="322"/>
      <c r="AF53" s="316"/>
      <c r="AG53" s="316"/>
      <c r="AH53" s="316"/>
      <c r="AI53" s="316"/>
      <c r="AJ53" s="324"/>
      <c r="AK53" s="318"/>
    </row>
    <row r="54" spans="1:37" ht="15.75">
      <c r="A54" s="13"/>
      <c r="B54" s="35" t="s">
        <v>196</v>
      </c>
      <c r="C54" s="34"/>
      <c r="D54" s="34"/>
      <c r="E54" s="34"/>
      <c r="F54" s="34"/>
      <c r="G54" s="34"/>
      <c r="H54" s="34"/>
      <c r="I54" s="37">
        <f>Statements!I24+Statements!I26</f>
        <v>24447.94251059065</v>
      </c>
      <c r="J54" s="22"/>
      <c r="K54" s="33"/>
      <c r="L54" s="33"/>
      <c r="M54" s="319"/>
      <c r="N54" s="293"/>
      <c r="O54" s="293"/>
      <c r="P54" s="293"/>
      <c r="Q54" s="293"/>
      <c r="R54" s="293"/>
      <c r="S54" s="336"/>
      <c r="T54" s="321"/>
      <c r="U54" s="335"/>
      <c r="V54" s="335"/>
      <c r="W54" s="335"/>
      <c r="X54" s="335"/>
      <c r="Y54" s="322"/>
      <c r="Z54" s="322"/>
      <c r="AA54" s="322"/>
      <c r="AB54" s="316"/>
      <c r="AC54" s="322"/>
      <c r="AD54" s="322"/>
      <c r="AE54" s="322"/>
      <c r="AF54" s="316"/>
      <c r="AG54" s="316"/>
      <c r="AH54" s="316"/>
      <c r="AI54" s="316"/>
      <c r="AJ54" s="324"/>
      <c r="AK54" s="318"/>
    </row>
    <row r="55" spans="1:37" ht="15.75">
      <c r="A55" s="13"/>
      <c r="B55" s="33"/>
      <c r="C55" s="33"/>
      <c r="D55" s="33"/>
      <c r="E55" s="33"/>
      <c r="F55" s="33"/>
      <c r="G55" s="33"/>
      <c r="H55" s="17" t="s">
        <v>95</v>
      </c>
      <c r="I55" s="34"/>
      <c r="J55" s="18">
        <f>J52/I54</f>
        <v>1.2757839467199195</v>
      </c>
      <c r="K55" s="33"/>
      <c r="L55" s="33"/>
      <c r="M55" s="319"/>
      <c r="N55" s="293"/>
      <c r="O55" s="293"/>
      <c r="P55" s="293"/>
      <c r="Q55" s="293"/>
      <c r="R55" s="293"/>
      <c r="S55" s="336"/>
      <c r="T55" s="321"/>
      <c r="U55" s="335"/>
      <c r="V55" s="335"/>
      <c r="W55" s="335"/>
      <c r="X55" s="335"/>
      <c r="Y55" s="322"/>
      <c r="Z55" s="322"/>
      <c r="AA55" s="322"/>
      <c r="AB55" s="316"/>
      <c r="AC55" s="322"/>
      <c r="AD55" s="322"/>
      <c r="AE55" s="322"/>
      <c r="AF55" s="316"/>
      <c r="AG55" s="316"/>
      <c r="AH55" s="316"/>
      <c r="AI55" s="316"/>
      <c r="AJ55" s="324"/>
      <c r="AK55" s="318"/>
    </row>
    <row r="56" spans="1:37" ht="15.75">
      <c r="A56" s="17" t="s">
        <v>96</v>
      </c>
      <c r="B56" s="33"/>
      <c r="C56" s="33"/>
      <c r="D56" s="33"/>
      <c r="E56" s="33"/>
      <c r="F56" s="33"/>
      <c r="G56" s="33"/>
      <c r="H56" s="33"/>
      <c r="I56" s="33"/>
      <c r="J56" s="33"/>
      <c r="K56" s="33"/>
      <c r="L56" s="33"/>
      <c r="M56" s="319"/>
      <c r="N56" s="326" t="s">
        <v>86</v>
      </c>
      <c r="O56" s="309"/>
      <c r="P56" s="309"/>
      <c r="Q56" s="309"/>
      <c r="R56" s="309"/>
      <c r="S56" s="327"/>
      <c r="T56" s="339"/>
      <c r="U56" s="335"/>
      <c r="V56" s="335"/>
      <c r="W56" s="335"/>
      <c r="X56" s="335"/>
      <c r="Y56" s="316"/>
      <c r="Z56" s="316"/>
      <c r="AA56" s="316"/>
      <c r="AB56" s="316"/>
      <c r="AC56" s="316"/>
      <c r="AD56" s="316"/>
      <c r="AE56" s="316"/>
      <c r="AF56" s="316"/>
      <c r="AG56" s="316"/>
      <c r="AH56" s="316"/>
      <c r="AI56" s="316"/>
      <c r="AJ56" s="316"/>
      <c r="AK56" s="318"/>
    </row>
    <row r="57" spans="1:37" ht="15.75">
      <c r="A57" s="33"/>
      <c r="B57" s="35" t="s">
        <v>32</v>
      </c>
      <c r="C57" s="34"/>
      <c r="D57" s="34"/>
      <c r="E57" s="34"/>
      <c r="F57" s="34"/>
      <c r="G57" s="34"/>
      <c r="H57" s="34"/>
      <c r="I57" s="37">
        <f>Statements!O22</f>
        <v>29150.79179504799</v>
      </c>
      <c r="J57" s="33"/>
      <c r="K57" s="33"/>
      <c r="L57" s="33"/>
      <c r="M57" s="319" t="s">
        <v>502</v>
      </c>
      <c r="N57" s="293" t="s">
        <v>87</v>
      </c>
      <c r="O57" s="293"/>
      <c r="P57" s="293"/>
      <c r="Q57" s="293"/>
      <c r="R57" s="293"/>
      <c r="S57" s="336"/>
      <c r="T57" s="333">
        <v>1.41</v>
      </c>
      <c r="U57" s="335"/>
      <c r="V57" s="335"/>
      <c r="W57" s="335"/>
      <c r="X57" s="335"/>
      <c r="Y57" s="316" t="s">
        <v>487</v>
      </c>
      <c r="Z57" s="316" t="s">
        <v>488</v>
      </c>
      <c r="AA57" s="316" t="s">
        <v>489</v>
      </c>
      <c r="AB57" s="316"/>
      <c r="AC57" s="316" t="s">
        <v>477</v>
      </c>
      <c r="AD57" s="316" t="s">
        <v>555</v>
      </c>
      <c r="AE57" s="316" t="s">
        <v>489</v>
      </c>
      <c r="AF57" s="316"/>
      <c r="AG57" s="316"/>
      <c r="AH57" s="316"/>
      <c r="AI57" s="316"/>
      <c r="AJ57" s="331">
        <v>1.4</v>
      </c>
      <c r="AK57" s="318"/>
    </row>
    <row r="58" spans="1:37" ht="15.75">
      <c r="A58" s="33"/>
      <c r="B58" s="35" t="s">
        <v>97</v>
      </c>
      <c r="C58" s="34"/>
      <c r="D58" s="34"/>
      <c r="E58" s="34"/>
      <c r="F58" s="34"/>
      <c r="G58" s="34"/>
      <c r="H58" s="34"/>
      <c r="I58" s="37">
        <f>Statements!E28</f>
        <v>0</v>
      </c>
      <c r="J58" s="33"/>
      <c r="K58" s="33"/>
      <c r="L58" s="33"/>
      <c r="M58" s="319"/>
      <c r="N58" s="293"/>
      <c r="O58" s="351" t="s">
        <v>571</v>
      </c>
      <c r="P58" s="293"/>
      <c r="Q58" s="293">
        <v>1.1</v>
      </c>
      <c r="R58" s="293"/>
      <c r="S58" s="336"/>
      <c r="T58" s="333"/>
      <c r="U58" s="335"/>
      <c r="V58" s="335"/>
      <c r="W58" s="335"/>
      <c r="X58" s="335"/>
      <c r="Y58" s="316"/>
      <c r="Z58" s="316"/>
      <c r="AA58" s="316"/>
      <c r="AB58" s="316"/>
      <c r="AC58" s="316"/>
      <c r="AD58" s="316"/>
      <c r="AE58" s="316"/>
      <c r="AF58" s="316"/>
      <c r="AG58" s="316"/>
      <c r="AH58" s="316"/>
      <c r="AI58" s="316"/>
      <c r="AJ58" s="331"/>
      <c r="AK58" s="318"/>
    </row>
    <row r="59" spans="1:37" ht="15.75">
      <c r="A59" s="33"/>
      <c r="B59" s="35" t="s">
        <v>89</v>
      </c>
      <c r="C59" s="34"/>
      <c r="D59" s="34"/>
      <c r="E59" s="34"/>
      <c r="F59" s="34"/>
      <c r="G59" s="34"/>
      <c r="H59" s="34"/>
      <c r="I59" s="37">
        <f>Statements!O15</f>
        <v>34500</v>
      </c>
      <c r="J59" s="33"/>
      <c r="K59" s="33"/>
      <c r="L59" s="33"/>
      <c r="M59" s="319"/>
      <c r="N59" s="293"/>
      <c r="O59" s="293"/>
      <c r="P59" s="293"/>
      <c r="Q59" s="293">
        <v>1.35</v>
      </c>
      <c r="R59" s="293"/>
      <c r="S59" s="336"/>
      <c r="T59" s="333"/>
      <c r="U59" s="335"/>
      <c r="V59" s="335"/>
      <c r="W59" s="335"/>
      <c r="X59" s="335"/>
      <c r="Y59" s="316"/>
      <c r="Z59" s="316"/>
      <c r="AA59" s="316"/>
      <c r="AB59" s="316"/>
      <c r="AC59" s="316"/>
      <c r="AD59" s="316"/>
      <c r="AE59" s="316"/>
      <c r="AF59" s="316"/>
      <c r="AG59" s="316"/>
      <c r="AH59" s="316"/>
      <c r="AI59" s="316"/>
      <c r="AJ59" s="331"/>
      <c r="AK59" s="318"/>
    </row>
    <row r="60" spans="1:37" ht="15.75">
      <c r="A60" s="33"/>
      <c r="B60" s="35" t="s">
        <v>92</v>
      </c>
      <c r="C60" s="34"/>
      <c r="D60" s="34"/>
      <c r="E60" s="34"/>
      <c r="F60" s="34"/>
      <c r="G60" s="34"/>
      <c r="H60" s="34"/>
      <c r="I60" s="37">
        <f>Statements!O24</f>
        <v>0</v>
      </c>
      <c r="J60" s="33"/>
      <c r="K60" s="33"/>
      <c r="L60" s="33"/>
      <c r="M60" s="319"/>
      <c r="N60" s="293"/>
      <c r="O60" s="293"/>
      <c r="P60" s="293"/>
      <c r="Q60" s="293"/>
      <c r="R60" s="293"/>
      <c r="S60" s="336"/>
      <c r="T60" s="333"/>
      <c r="U60" s="335"/>
      <c r="V60" s="335"/>
      <c r="W60" s="335"/>
      <c r="X60" s="335"/>
      <c r="Y60" s="316"/>
      <c r="Z60" s="316"/>
      <c r="AA60" s="316"/>
      <c r="AB60" s="316"/>
      <c r="AC60" s="316"/>
      <c r="AD60" s="316"/>
      <c r="AE60" s="316"/>
      <c r="AF60" s="316"/>
      <c r="AG60" s="316"/>
      <c r="AH60" s="316"/>
      <c r="AI60" s="316"/>
      <c r="AJ60" s="331"/>
      <c r="AK60" s="318"/>
    </row>
    <row r="61" spans="1:37" ht="15.75">
      <c r="A61" s="33"/>
      <c r="B61" s="35" t="s">
        <v>93</v>
      </c>
      <c r="C61" s="34"/>
      <c r="D61" s="34"/>
      <c r="E61" s="34"/>
      <c r="F61" s="34"/>
      <c r="G61" s="34"/>
      <c r="H61" s="34"/>
      <c r="I61" s="37">
        <f>Statements!I29</f>
        <v>45000</v>
      </c>
      <c r="J61" s="33"/>
      <c r="K61" s="33"/>
      <c r="L61" s="33"/>
      <c r="M61" s="319"/>
      <c r="N61" s="293"/>
      <c r="O61" s="293"/>
      <c r="P61" s="293"/>
      <c r="Q61" s="293"/>
      <c r="R61" s="293"/>
      <c r="S61" s="336"/>
      <c r="T61" s="333"/>
      <c r="U61" s="335"/>
      <c r="V61" s="335"/>
      <c r="W61" s="335"/>
      <c r="X61" s="335"/>
      <c r="Y61" s="316"/>
      <c r="Z61" s="316"/>
      <c r="AA61" s="316"/>
      <c r="AB61" s="316"/>
      <c r="AC61" s="316"/>
      <c r="AD61" s="316"/>
      <c r="AE61" s="316"/>
      <c r="AF61" s="316"/>
      <c r="AG61" s="316"/>
      <c r="AH61" s="316"/>
      <c r="AI61" s="316"/>
      <c r="AJ61" s="331"/>
      <c r="AK61" s="318"/>
    </row>
    <row r="62" spans="1:37" ht="15.75">
      <c r="A62" s="33"/>
      <c r="B62" s="35" t="s">
        <v>98</v>
      </c>
      <c r="C62" s="34"/>
      <c r="D62" s="34"/>
      <c r="E62" s="34"/>
      <c r="F62" s="34"/>
      <c r="G62" s="34"/>
      <c r="H62" s="34"/>
      <c r="I62" s="23">
        <f>I57+I58+I59-I60-I61</f>
        <v>18650.79179504799</v>
      </c>
      <c r="J62" s="33"/>
      <c r="K62" s="33"/>
      <c r="L62" s="33"/>
      <c r="M62" s="319" t="s">
        <v>502</v>
      </c>
      <c r="N62" s="293" t="s">
        <v>96</v>
      </c>
      <c r="O62" s="293"/>
      <c r="P62" s="293"/>
      <c r="Q62" s="293"/>
      <c r="R62" s="293"/>
      <c r="S62" s="336"/>
      <c r="T62" s="321">
        <v>13296</v>
      </c>
      <c r="U62" s="335"/>
      <c r="V62" s="335"/>
      <c r="W62" s="335"/>
      <c r="X62" s="335"/>
      <c r="Y62" s="322"/>
      <c r="Z62" s="322"/>
      <c r="AA62" s="322"/>
      <c r="AB62" s="316"/>
      <c r="AC62" s="322"/>
      <c r="AD62" s="322"/>
      <c r="AE62" s="322"/>
      <c r="AF62" s="316"/>
      <c r="AG62" s="316"/>
      <c r="AH62" s="316"/>
      <c r="AI62" s="316"/>
      <c r="AJ62" s="324">
        <v>16684</v>
      </c>
      <c r="AK62" s="318"/>
    </row>
    <row r="63" spans="1:37" ht="15.75">
      <c r="A63" s="33"/>
      <c r="B63" s="35" t="s">
        <v>99</v>
      </c>
      <c r="C63" s="34"/>
      <c r="D63" s="34"/>
      <c r="E63" s="34"/>
      <c r="F63" s="34"/>
      <c r="G63" s="34"/>
      <c r="H63" s="34"/>
      <c r="I63" s="37">
        <f>-Statements!H44</f>
        <v>0</v>
      </c>
      <c r="J63" s="33"/>
      <c r="K63" s="33"/>
      <c r="L63" s="33"/>
      <c r="M63" s="319"/>
      <c r="N63" s="293"/>
      <c r="O63" s="351" t="s">
        <v>571</v>
      </c>
      <c r="P63" s="293"/>
      <c r="Q63" s="293">
        <v>5000</v>
      </c>
      <c r="R63" s="293"/>
      <c r="S63" s="336"/>
      <c r="T63" s="321"/>
      <c r="U63" s="335"/>
      <c r="V63" s="335"/>
      <c r="W63" s="335"/>
      <c r="X63" s="335"/>
      <c r="Y63" s="322"/>
      <c r="Z63" s="322"/>
      <c r="AA63" s="322"/>
      <c r="AB63" s="316"/>
      <c r="AC63" s="322"/>
      <c r="AD63" s="322"/>
      <c r="AE63" s="322"/>
      <c r="AF63" s="316"/>
      <c r="AG63" s="316"/>
      <c r="AH63" s="316"/>
      <c r="AI63" s="316"/>
      <c r="AJ63" s="324"/>
      <c r="AK63" s="318"/>
    </row>
    <row r="64" spans="1:37" ht="15.75">
      <c r="A64" s="33"/>
      <c r="B64" s="35" t="s">
        <v>630</v>
      </c>
      <c r="C64" s="34"/>
      <c r="D64" s="34"/>
      <c r="E64" s="34"/>
      <c r="F64" s="34"/>
      <c r="G64" s="34"/>
      <c r="H64" s="34"/>
      <c r="I64" s="37">
        <f>Statements!I26</f>
        <v>11908.441720295607</v>
      </c>
      <c r="J64" s="33"/>
      <c r="K64" s="33"/>
      <c r="L64" s="33"/>
      <c r="M64" s="319"/>
      <c r="N64" s="293"/>
      <c r="O64" s="293"/>
      <c r="P64" s="293"/>
      <c r="Q64" s="293"/>
      <c r="R64" s="293"/>
      <c r="S64" s="336"/>
      <c r="T64" s="321"/>
      <c r="U64" s="335"/>
      <c r="V64" s="335"/>
      <c r="W64" s="335"/>
      <c r="X64" s="335"/>
      <c r="Y64" s="322"/>
      <c r="Z64" s="322"/>
      <c r="AA64" s="322"/>
      <c r="AB64" s="316"/>
      <c r="AC64" s="322"/>
      <c r="AD64" s="322"/>
      <c r="AE64" s="322"/>
      <c r="AF64" s="316"/>
      <c r="AG64" s="316"/>
      <c r="AH64" s="316"/>
      <c r="AI64" s="316"/>
      <c r="AJ64" s="324"/>
      <c r="AK64" s="318"/>
    </row>
    <row r="65" spans="1:37" ht="15.75">
      <c r="A65" s="33"/>
      <c r="B65" s="35" t="s">
        <v>100</v>
      </c>
      <c r="C65" s="34"/>
      <c r="D65" s="34"/>
      <c r="E65" s="34"/>
      <c r="F65" s="34"/>
      <c r="G65" s="34"/>
      <c r="H65" s="34"/>
      <c r="I65" s="37">
        <f>Statements!H45</f>
        <v>0</v>
      </c>
      <c r="J65" s="33"/>
      <c r="K65" s="33"/>
      <c r="L65" s="33"/>
      <c r="M65" s="319"/>
      <c r="N65" s="293"/>
      <c r="O65" s="293"/>
      <c r="P65" s="293"/>
      <c r="Q65" s="293"/>
      <c r="R65" s="293"/>
      <c r="S65" s="336"/>
      <c r="T65" s="321"/>
      <c r="U65" s="335"/>
      <c r="V65" s="335"/>
      <c r="W65" s="335"/>
      <c r="X65" s="335"/>
      <c r="Y65" s="322"/>
      <c r="Z65" s="322"/>
      <c r="AA65" s="322"/>
      <c r="AB65" s="316"/>
      <c r="AC65" s="322"/>
      <c r="AD65" s="322"/>
      <c r="AE65" s="322"/>
      <c r="AF65" s="316"/>
      <c r="AG65" s="316"/>
      <c r="AH65" s="316"/>
      <c r="AI65" s="316"/>
      <c r="AJ65" s="324"/>
      <c r="AK65" s="318"/>
    </row>
    <row r="66" spans="1:37" ht="15.75">
      <c r="A66" s="33"/>
      <c r="B66" s="35" t="s">
        <v>101</v>
      </c>
      <c r="C66" s="34"/>
      <c r="D66" s="34"/>
      <c r="E66" s="34"/>
      <c r="F66" s="34"/>
      <c r="G66" s="34"/>
      <c r="H66" s="34"/>
      <c r="I66" s="33"/>
      <c r="J66" s="19">
        <f>I62-SUM(I63:I65)</f>
        <v>6742.350074752383</v>
      </c>
      <c r="K66" s="33"/>
      <c r="L66" s="33"/>
      <c r="M66" s="319"/>
      <c r="N66" s="293"/>
      <c r="O66" s="293"/>
      <c r="P66" s="293"/>
      <c r="Q66" s="293"/>
      <c r="R66" s="293"/>
      <c r="S66" s="336"/>
      <c r="T66" s="321"/>
      <c r="U66" s="335"/>
      <c r="V66" s="335"/>
      <c r="W66" s="335"/>
      <c r="X66" s="335"/>
      <c r="Y66" s="322"/>
      <c r="Z66" s="322"/>
      <c r="AA66" s="322"/>
      <c r="AB66" s="316"/>
      <c r="AC66" s="322"/>
      <c r="AD66" s="322"/>
      <c r="AE66" s="322"/>
      <c r="AF66" s="316"/>
      <c r="AG66" s="316"/>
      <c r="AH66" s="316"/>
      <c r="AI66" s="316"/>
      <c r="AJ66" s="324"/>
      <c r="AK66" s="318"/>
    </row>
    <row r="67" spans="1:37" ht="15.75">
      <c r="A67" s="33"/>
      <c r="B67" s="34"/>
      <c r="C67" s="34"/>
      <c r="D67" s="34"/>
      <c r="E67" s="34"/>
      <c r="F67" s="34"/>
      <c r="G67" s="34"/>
      <c r="H67" s="34"/>
      <c r="I67" s="33"/>
      <c r="J67" s="33"/>
      <c r="K67" s="33"/>
      <c r="L67" s="33"/>
      <c r="M67" s="319"/>
      <c r="N67" s="293"/>
      <c r="O67" s="293"/>
      <c r="P67" s="293"/>
      <c r="Q67" s="293"/>
      <c r="R67" s="293"/>
      <c r="S67" s="336"/>
      <c r="T67" s="321"/>
      <c r="U67" s="335"/>
      <c r="V67" s="335"/>
      <c r="W67" s="335"/>
      <c r="X67" s="335"/>
      <c r="Y67" s="322"/>
      <c r="Z67" s="322"/>
      <c r="AA67" s="322"/>
      <c r="AB67" s="316"/>
      <c r="AC67" s="322"/>
      <c r="AD67" s="322"/>
      <c r="AE67" s="322"/>
      <c r="AF67" s="316"/>
      <c r="AG67" s="316"/>
      <c r="AH67" s="316"/>
      <c r="AI67" s="316"/>
      <c r="AJ67" s="324"/>
      <c r="AK67" s="318"/>
    </row>
    <row r="68" spans="1:37" ht="15.75">
      <c r="A68" s="33"/>
      <c r="B68" s="35" t="s">
        <v>102</v>
      </c>
      <c r="C68" s="34"/>
      <c r="D68" s="34"/>
      <c r="E68" s="34"/>
      <c r="F68" s="34"/>
      <c r="G68" s="34"/>
      <c r="H68" s="34"/>
      <c r="I68" s="33"/>
      <c r="J68" s="33"/>
      <c r="K68" s="33"/>
      <c r="L68" s="33"/>
      <c r="M68" s="319"/>
      <c r="N68" s="326" t="s">
        <v>103</v>
      </c>
      <c r="O68" s="309"/>
      <c r="P68" s="309"/>
      <c r="Q68" s="309"/>
      <c r="R68" s="309"/>
      <c r="S68" s="327"/>
      <c r="T68" s="339"/>
      <c r="U68" s="335"/>
      <c r="V68" s="335"/>
      <c r="W68" s="335"/>
      <c r="X68" s="335"/>
      <c r="Y68" s="316"/>
      <c r="Z68" s="316"/>
      <c r="AA68" s="316"/>
      <c r="AB68" s="316"/>
      <c r="AC68" s="316"/>
      <c r="AD68" s="316"/>
      <c r="AE68" s="316"/>
      <c r="AF68" s="316"/>
      <c r="AG68" s="316"/>
      <c r="AH68" s="316"/>
      <c r="AI68" s="316"/>
      <c r="AJ68" s="316"/>
      <c r="AK68" s="318"/>
    </row>
    <row r="69" spans="1:37" ht="15.75">
      <c r="A69" s="33"/>
      <c r="B69" s="33"/>
      <c r="C69" s="33"/>
      <c r="D69" s="33"/>
      <c r="E69" s="33"/>
      <c r="F69" s="33"/>
      <c r="G69" s="33"/>
      <c r="H69" s="33"/>
      <c r="I69" s="33"/>
      <c r="J69" s="33"/>
      <c r="K69" s="33"/>
      <c r="L69" s="33"/>
      <c r="M69" s="319" t="s">
        <v>502</v>
      </c>
      <c r="N69" s="293" t="s">
        <v>104</v>
      </c>
      <c r="O69" s="293"/>
      <c r="P69" s="293"/>
      <c r="Q69" s="293"/>
      <c r="R69" s="293"/>
      <c r="S69" s="336"/>
      <c r="T69" s="342">
        <v>0.2623</v>
      </c>
      <c r="U69" s="335"/>
      <c r="V69" s="335"/>
      <c r="W69" s="335"/>
      <c r="X69" s="335"/>
      <c r="Y69" s="316" t="s">
        <v>490</v>
      </c>
      <c r="Z69" s="316" t="s">
        <v>491</v>
      </c>
      <c r="AA69" s="316" t="s">
        <v>486</v>
      </c>
      <c r="AB69" s="316"/>
      <c r="AC69" s="609" t="s">
        <v>556</v>
      </c>
      <c r="AD69" s="609"/>
      <c r="AE69" s="609"/>
      <c r="AF69" s="316"/>
      <c r="AG69" s="316" t="s">
        <v>520</v>
      </c>
      <c r="AH69" s="316" t="s">
        <v>519</v>
      </c>
      <c r="AI69" s="316"/>
      <c r="AJ69" s="340">
        <v>0.434</v>
      </c>
      <c r="AK69" s="318"/>
    </row>
    <row r="70" spans="1:37" ht="19.5">
      <c r="A70" s="16" t="s">
        <v>103</v>
      </c>
      <c r="B70" s="36"/>
      <c r="C70" s="36"/>
      <c r="D70" s="36"/>
      <c r="E70" s="36"/>
      <c r="F70" s="36"/>
      <c r="G70" s="36"/>
      <c r="H70" s="36"/>
      <c r="I70" s="36"/>
      <c r="J70" s="36"/>
      <c r="K70" s="33"/>
      <c r="L70" s="33"/>
      <c r="M70" s="319"/>
      <c r="N70" s="293"/>
      <c r="O70" s="351" t="s">
        <v>571</v>
      </c>
      <c r="P70" s="293"/>
      <c r="Q70" s="293">
        <v>0.2</v>
      </c>
      <c r="R70" s="293"/>
      <c r="S70" s="336"/>
      <c r="T70" s="342"/>
      <c r="U70" s="335"/>
      <c r="V70" s="335"/>
      <c r="W70" s="335"/>
      <c r="X70" s="335"/>
      <c r="Y70" s="316"/>
      <c r="Z70" s="316"/>
      <c r="AA70" s="316"/>
      <c r="AB70" s="316"/>
      <c r="AC70" s="323"/>
      <c r="AD70" s="323"/>
      <c r="AE70" s="323"/>
      <c r="AF70" s="316"/>
      <c r="AG70" s="316"/>
      <c r="AH70" s="316"/>
      <c r="AI70" s="316"/>
      <c r="AJ70" s="340"/>
      <c r="AK70" s="318"/>
    </row>
    <row r="71" spans="1:37" ht="15.75">
      <c r="A71" s="17" t="s">
        <v>104</v>
      </c>
      <c r="B71" s="33"/>
      <c r="C71" s="33"/>
      <c r="D71" s="33"/>
      <c r="E71" s="33"/>
      <c r="F71" s="33"/>
      <c r="G71" s="33"/>
      <c r="H71" s="33"/>
      <c r="I71" s="33"/>
      <c r="J71" s="33"/>
      <c r="K71" s="33"/>
      <c r="L71" s="33"/>
      <c r="M71" s="319"/>
      <c r="N71" s="293"/>
      <c r="O71" s="293"/>
      <c r="P71" s="293"/>
      <c r="Q71" s="293">
        <v>0.4</v>
      </c>
      <c r="R71" s="293"/>
      <c r="S71" s="336"/>
      <c r="T71" s="342"/>
      <c r="U71" s="335"/>
      <c r="V71" s="335"/>
      <c r="W71" s="335"/>
      <c r="X71" s="335"/>
      <c r="Y71" s="316"/>
      <c r="Z71" s="316"/>
      <c r="AA71" s="316"/>
      <c r="AB71" s="316"/>
      <c r="AC71" s="323"/>
      <c r="AD71" s="323"/>
      <c r="AE71" s="323"/>
      <c r="AF71" s="316"/>
      <c r="AG71" s="316"/>
      <c r="AH71" s="316"/>
      <c r="AI71" s="316"/>
      <c r="AJ71" s="340"/>
      <c r="AK71" s="318"/>
    </row>
    <row r="72" spans="1:37" ht="15.75">
      <c r="A72" s="13"/>
      <c r="B72" s="35" t="s">
        <v>105</v>
      </c>
      <c r="C72" s="34"/>
      <c r="D72" s="34"/>
      <c r="E72" s="34"/>
      <c r="F72" s="33"/>
      <c r="G72" s="33"/>
      <c r="H72" s="33"/>
      <c r="I72" s="37">
        <f>Statements!O10</f>
        <v>358424.31645</v>
      </c>
      <c r="J72" s="33"/>
      <c r="K72" s="33"/>
      <c r="L72" s="33"/>
      <c r="M72" s="319"/>
      <c r="N72" s="293"/>
      <c r="O72" s="293"/>
      <c r="P72" s="293"/>
      <c r="Q72" s="293"/>
      <c r="R72" s="293"/>
      <c r="S72" s="336"/>
      <c r="T72" s="342"/>
      <c r="U72" s="335"/>
      <c r="V72" s="335"/>
      <c r="W72" s="335"/>
      <c r="X72" s="335"/>
      <c r="Y72" s="316"/>
      <c r="Z72" s="316"/>
      <c r="AA72" s="316"/>
      <c r="AB72" s="316"/>
      <c r="AC72" s="323"/>
      <c r="AD72" s="323"/>
      <c r="AE72" s="323"/>
      <c r="AF72" s="316"/>
      <c r="AG72" s="316"/>
      <c r="AH72" s="316"/>
      <c r="AI72" s="316"/>
      <c r="AJ72" s="340"/>
      <c r="AK72" s="318"/>
    </row>
    <row r="73" spans="1:37" ht="15.75">
      <c r="A73" s="13"/>
      <c r="B73" s="35" t="s">
        <v>106</v>
      </c>
      <c r="C73" s="34"/>
      <c r="D73" s="34"/>
      <c r="E73" s="34"/>
      <c r="F73" s="33"/>
      <c r="G73" s="33"/>
      <c r="H73" s="33"/>
      <c r="I73" s="37">
        <f>I27</f>
        <v>1585695.7272981422</v>
      </c>
      <c r="J73" s="24">
        <f>I72/I73</f>
        <v>0.22603599812980332</v>
      </c>
      <c r="K73" s="33"/>
      <c r="L73" s="33"/>
      <c r="M73" s="319" t="s">
        <v>503</v>
      </c>
      <c r="N73" s="293" t="s">
        <v>107</v>
      </c>
      <c r="O73" s="293"/>
      <c r="P73" s="293"/>
      <c r="Q73" s="293"/>
      <c r="R73" s="293"/>
      <c r="S73" s="336"/>
      <c r="T73" s="330">
        <v>0.7696</v>
      </c>
      <c r="U73" s="335"/>
      <c r="V73" s="335"/>
      <c r="W73" s="335"/>
      <c r="X73" s="335"/>
      <c r="Y73" s="316" t="s">
        <v>492</v>
      </c>
      <c r="Z73" s="316" t="s">
        <v>493</v>
      </c>
      <c r="AA73" s="316" t="s">
        <v>494</v>
      </c>
      <c r="AB73" s="316"/>
      <c r="AC73" s="316" t="s">
        <v>546</v>
      </c>
      <c r="AD73" s="316" t="s">
        <v>547</v>
      </c>
      <c r="AE73" s="316" t="s">
        <v>548</v>
      </c>
      <c r="AF73" s="316"/>
      <c r="AG73" s="316" t="s">
        <v>521</v>
      </c>
      <c r="AH73" s="316" t="s">
        <v>522</v>
      </c>
      <c r="AI73" s="316"/>
      <c r="AJ73" s="340">
        <v>0.728</v>
      </c>
      <c r="AK73" s="318"/>
    </row>
    <row r="74" spans="1:37" ht="15.75">
      <c r="A74" s="17" t="s">
        <v>107</v>
      </c>
      <c r="B74" s="33"/>
      <c r="C74" s="33"/>
      <c r="D74" s="33"/>
      <c r="E74" s="33"/>
      <c r="F74" s="33"/>
      <c r="G74" s="33"/>
      <c r="H74" s="33"/>
      <c r="I74" s="37"/>
      <c r="J74" s="20"/>
      <c r="K74" s="33"/>
      <c r="L74" s="33"/>
      <c r="M74" s="319"/>
      <c r="N74" s="293" t="s">
        <v>549</v>
      </c>
      <c r="O74" s="293"/>
      <c r="P74" s="293"/>
      <c r="Q74" s="293"/>
      <c r="R74" s="293"/>
      <c r="S74" s="336"/>
      <c r="T74" s="333"/>
      <c r="U74" s="335"/>
      <c r="V74" s="335"/>
      <c r="W74" s="335"/>
      <c r="X74" s="335"/>
      <c r="Y74" s="316"/>
      <c r="Z74" s="316"/>
      <c r="AA74" s="316"/>
      <c r="AB74" s="316"/>
      <c r="AC74" s="316" t="s">
        <v>550</v>
      </c>
      <c r="AD74" s="316" t="s">
        <v>551</v>
      </c>
      <c r="AE74" s="316" t="s">
        <v>552</v>
      </c>
      <c r="AF74" s="316"/>
      <c r="AG74" s="316"/>
      <c r="AH74" s="316"/>
      <c r="AI74" s="316"/>
      <c r="AJ74" s="334"/>
      <c r="AK74" s="318"/>
    </row>
    <row r="75" spans="1:37" ht="15.75">
      <c r="A75" s="13"/>
      <c r="B75" s="35" t="s">
        <v>108</v>
      </c>
      <c r="C75" s="34"/>
      <c r="D75" s="34"/>
      <c r="E75" s="34"/>
      <c r="F75" s="34"/>
      <c r="G75" s="33"/>
      <c r="H75" s="33"/>
      <c r="I75" s="37">
        <f>Statements!O16</f>
        <v>312519.57675</v>
      </c>
      <c r="J75" s="20"/>
      <c r="K75" s="33"/>
      <c r="L75" s="33"/>
      <c r="M75" s="319"/>
      <c r="N75" s="293"/>
      <c r="O75" s="351" t="s">
        <v>571</v>
      </c>
      <c r="P75" s="293"/>
      <c r="Q75" s="293">
        <v>0.6</v>
      </c>
      <c r="R75" s="293"/>
      <c r="S75" s="336"/>
      <c r="T75" s="333"/>
      <c r="U75" s="335"/>
      <c r="V75" s="335"/>
      <c r="W75" s="335"/>
      <c r="X75" s="335"/>
      <c r="Y75" s="316"/>
      <c r="Z75" s="316"/>
      <c r="AA75" s="316"/>
      <c r="AB75" s="316"/>
      <c r="AC75" s="316"/>
      <c r="AD75" s="316"/>
      <c r="AE75" s="316"/>
      <c r="AF75" s="316"/>
      <c r="AG75" s="316"/>
      <c r="AH75" s="316"/>
      <c r="AI75" s="316"/>
      <c r="AJ75" s="334"/>
      <c r="AK75" s="318"/>
    </row>
    <row r="76" spans="1:37" ht="15.75">
      <c r="A76" s="13"/>
      <c r="B76" s="35" t="s">
        <v>109</v>
      </c>
      <c r="C76" s="34"/>
      <c r="D76" s="34"/>
      <c r="E76" s="34"/>
      <c r="F76" s="34"/>
      <c r="G76" s="33"/>
      <c r="H76" s="33"/>
      <c r="I76" s="37">
        <f>Statements!O15</f>
        <v>34500</v>
      </c>
      <c r="J76" s="20"/>
      <c r="K76" s="33"/>
      <c r="L76" s="33"/>
      <c r="M76" s="319"/>
      <c r="N76" s="293"/>
      <c r="O76" s="293"/>
      <c r="P76" s="293"/>
      <c r="Q76" s="293">
        <v>0.8</v>
      </c>
      <c r="R76" s="293"/>
      <c r="S76" s="336"/>
      <c r="T76" s="333"/>
      <c r="U76" s="335"/>
      <c r="V76" s="335"/>
      <c r="W76" s="335"/>
      <c r="X76" s="335"/>
      <c r="Y76" s="316"/>
      <c r="Z76" s="316"/>
      <c r="AA76" s="316"/>
      <c r="AB76" s="316"/>
      <c r="AC76" s="316"/>
      <c r="AD76" s="316"/>
      <c r="AE76" s="316"/>
      <c r="AF76" s="316"/>
      <c r="AG76" s="316"/>
      <c r="AH76" s="316"/>
      <c r="AI76" s="316"/>
      <c r="AJ76" s="334"/>
      <c r="AK76" s="318"/>
    </row>
    <row r="77" spans="1:37" ht="15.75">
      <c r="A77" s="13"/>
      <c r="B77" s="35" t="s">
        <v>110</v>
      </c>
      <c r="C77" s="34"/>
      <c r="D77" s="34"/>
      <c r="E77" s="34"/>
      <c r="F77" s="34"/>
      <c r="G77" s="33"/>
      <c r="H77" s="33"/>
      <c r="I77" s="37">
        <f>I72</f>
        <v>358424.31645</v>
      </c>
      <c r="J77" s="24">
        <f>(I75-I76)/I77</f>
        <v>0.7756716383074517</v>
      </c>
      <c r="K77" s="33"/>
      <c r="L77" s="33"/>
      <c r="M77" s="319"/>
      <c r="N77" s="293"/>
      <c r="O77" s="293"/>
      <c r="P77" s="293"/>
      <c r="Q77" s="293"/>
      <c r="R77" s="293"/>
      <c r="S77" s="336"/>
      <c r="T77" s="333"/>
      <c r="U77" s="335"/>
      <c r="V77" s="335"/>
      <c r="W77" s="335"/>
      <c r="X77" s="335"/>
      <c r="Y77" s="316"/>
      <c r="Z77" s="316"/>
      <c r="AA77" s="316"/>
      <c r="AB77" s="316"/>
      <c r="AC77" s="316"/>
      <c r="AD77" s="316"/>
      <c r="AE77" s="316"/>
      <c r="AF77" s="316"/>
      <c r="AG77" s="316"/>
      <c r="AH77" s="316"/>
      <c r="AI77" s="316"/>
      <c r="AJ77" s="334"/>
      <c r="AK77" s="318"/>
    </row>
    <row r="78" spans="1:37" ht="15.75">
      <c r="A78" s="13"/>
      <c r="B78" s="33"/>
      <c r="C78" s="33"/>
      <c r="D78" s="33"/>
      <c r="E78" s="33"/>
      <c r="F78" s="33"/>
      <c r="G78" s="33"/>
      <c r="H78" s="33"/>
      <c r="I78" s="37"/>
      <c r="J78" s="24"/>
      <c r="K78" s="33"/>
      <c r="L78" s="33"/>
      <c r="M78" s="319"/>
      <c r="N78" s="293"/>
      <c r="O78" s="293"/>
      <c r="P78" s="293"/>
      <c r="Q78" s="293"/>
      <c r="R78" s="293"/>
      <c r="S78" s="336"/>
      <c r="T78" s="333"/>
      <c r="U78" s="335"/>
      <c r="V78" s="335"/>
      <c r="W78" s="335"/>
      <c r="X78" s="335"/>
      <c r="Y78" s="316"/>
      <c r="Z78" s="316"/>
      <c r="AA78" s="316"/>
      <c r="AB78" s="316"/>
      <c r="AC78" s="316"/>
      <c r="AD78" s="316"/>
      <c r="AE78" s="316"/>
      <c r="AF78" s="316"/>
      <c r="AG78" s="316"/>
      <c r="AH78" s="316"/>
      <c r="AI78" s="316"/>
      <c r="AJ78" s="334"/>
      <c r="AK78" s="318"/>
    </row>
    <row r="79" spans="1:37" ht="15.75">
      <c r="A79" s="17" t="s">
        <v>111</v>
      </c>
      <c r="B79" s="33"/>
      <c r="C79" s="33"/>
      <c r="D79" s="33"/>
      <c r="E79" s="33"/>
      <c r="F79" s="33"/>
      <c r="G79" s="33"/>
      <c r="H79" s="33"/>
      <c r="I79" s="37"/>
      <c r="J79" s="24"/>
      <c r="K79" s="33"/>
      <c r="L79" s="33"/>
      <c r="M79" s="319" t="s">
        <v>503</v>
      </c>
      <c r="N79" s="293" t="s">
        <v>111</v>
      </c>
      <c r="O79" s="293"/>
      <c r="P79" s="293"/>
      <c r="Q79" s="293"/>
      <c r="R79" s="293"/>
      <c r="S79" s="336"/>
      <c r="T79" s="330">
        <v>0.0566</v>
      </c>
      <c r="U79" s="335"/>
      <c r="V79" s="335"/>
      <c r="W79" s="335"/>
      <c r="X79" s="335"/>
      <c r="Y79" s="316" t="s">
        <v>495</v>
      </c>
      <c r="Z79" s="316" t="s">
        <v>496</v>
      </c>
      <c r="AA79" s="316" t="s">
        <v>497</v>
      </c>
      <c r="AB79" s="316"/>
      <c r="AC79" s="609" t="s">
        <v>553</v>
      </c>
      <c r="AD79" s="609"/>
      <c r="AE79" s="609"/>
      <c r="AF79" s="316"/>
      <c r="AG79" s="316" t="s">
        <v>523</v>
      </c>
      <c r="AH79" s="316" t="s">
        <v>515</v>
      </c>
      <c r="AI79" s="316"/>
      <c r="AJ79" s="340">
        <v>0.062</v>
      </c>
      <c r="AK79" s="318"/>
    </row>
    <row r="80" spans="1:37" ht="15.75">
      <c r="A80" s="13"/>
      <c r="B80" s="35" t="s">
        <v>112</v>
      </c>
      <c r="C80" s="34"/>
      <c r="D80" s="34"/>
      <c r="E80" s="34"/>
      <c r="F80" s="34"/>
      <c r="G80" s="34"/>
      <c r="H80" s="33"/>
      <c r="I80" s="37">
        <f>I76</f>
        <v>34500</v>
      </c>
      <c r="J80" s="24"/>
      <c r="K80" s="33"/>
      <c r="L80" s="33"/>
      <c r="M80" s="319"/>
      <c r="N80" s="293"/>
      <c r="O80" s="351" t="s">
        <v>571</v>
      </c>
      <c r="P80" s="293"/>
      <c r="Q80" s="293">
        <v>0.1</v>
      </c>
      <c r="R80" s="293"/>
      <c r="S80" s="336"/>
      <c r="T80" s="330"/>
      <c r="U80" s="335"/>
      <c r="V80" s="335"/>
      <c r="W80" s="335"/>
      <c r="X80" s="335"/>
      <c r="Y80" s="316"/>
      <c r="Z80" s="316"/>
      <c r="AA80" s="316"/>
      <c r="AB80" s="316"/>
      <c r="AC80" s="323"/>
      <c r="AD80" s="323"/>
      <c r="AE80" s="323"/>
      <c r="AF80" s="316"/>
      <c r="AG80" s="316"/>
      <c r="AH80" s="316"/>
      <c r="AI80" s="316"/>
      <c r="AJ80" s="340"/>
      <c r="AK80" s="318"/>
    </row>
    <row r="81" spans="1:37" ht="15.75">
      <c r="A81" s="13"/>
      <c r="B81" s="35" t="s">
        <v>113</v>
      </c>
      <c r="C81" s="34"/>
      <c r="D81" s="34"/>
      <c r="E81" s="34"/>
      <c r="F81" s="34"/>
      <c r="G81" s="34"/>
      <c r="H81" s="33"/>
      <c r="I81" s="37">
        <f>I77</f>
        <v>358424.31645</v>
      </c>
      <c r="J81" s="24">
        <f>I80/I81</f>
        <v>0.09625463010351512</v>
      </c>
      <c r="K81" s="33"/>
      <c r="L81" s="33"/>
      <c r="M81" s="319"/>
      <c r="N81" s="293"/>
      <c r="O81" s="293"/>
      <c r="P81" s="293"/>
      <c r="Q81" s="293">
        <v>0.2</v>
      </c>
      <c r="R81" s="293"/>
      <c r="S81" s="336"/>
      <c r="T81" s="330"/>
      <c r="U81" s="335"/>
      <c r="V81" s="335"/>
      <c r="W81" s="335"/>
      <c r="X81" s="335"/>
      <c r="Y81" s="316"/>
      <c r="Z81" s="316"/>
      <c r="AA81" s="316"/>
      <c r="AB81" s="316"/>
      <c r="AC81" s="323"/>
      <c r="AD81" s="323"/>
      <c r="AE81" s="323"/>
      <c r="AF81" s="316"/>
      <c r="AG81" s="316"/>
      <c r="AH81" s="316"/>
      <c r="AI81" s="316"/>
      <c r="AJ81" s="340"/>
      <c r="AK81" s="318"/>
    </row>
    <row r="82" spans="1:37" ht="15.75">
      <c r="A82" s="13"/>
      <c r="B82" s="34"/>
      <c r="C82" s="34"/>
      <c r="D82" s="34"/>
      <c r="E82" s="34"/>
      <c r="F82" s="34"/>
      <c r="G82" s="34"/>
      <c r="H82" s="33"/>
      <c r="I82" s="37"/>
      <c r="J82" s="24"/>
      <c r="K82" s="33"/>
      <c r="L82" s="33"/>
      <c r="M82" s="319"/>
      <c r="N82" s="293"/>
      <c r="O82" s="293"/>
      <c r="P82" s="293"/>
      <c r="Q82" s="293"/>
      <c r="R82" s="293"/>
      <c r="S82" s="336"/>
      <c r="T82" s="330"/>
      <c r="U82" s="335"/>
      <c r="V82" s="335"/>
      <c r="W82" s="335"/>
      <c r="X82" s="335"/>
      <c r="Y82" s="316"/>
      <c r="Z82" s="316"/>
      <c r="AA82" s="316"/>
      <c r="AB82" s="316"/>
      <c r="AC82" s="323"/>
      <c r="AD82" s="323"/>
      <c r="AE82" s="323"/>
      <c r="AF82" s="316"/>
      <c r="AG82" s="316"/>
      <c r="AH82" s="316"/>
      <c r="AI82" s="316"/>
      <c r="AJ82" s="340"/>
      <c r="AK82" s="318"/>
    </row>
    <row r="83" spans="1:37" ht="15.75">
      <c r="A83" s="17" t="s">
        <v>114</v>
      </c>
      <c r="B83" s="33"/>
      <c r="C83" s="33"/>
      <c r="D83" s="33"/>
      <c r="E83" s="33"/>
      <c r="F83" s="33"/>
      <c r="G83" s="33"/>
      <c r="H83" s="33"/>
      <c r="I83" s="37"/>
      <c r="J83" s="24"/>
      <c r="K83" s="33"/>
      <c r="L83" s="33"/>
      <c r="M83" s="319"/>
      <c r="N83" s="293"/>
      <c r="O83" s="293"/>
      <c r="P83" s="293"/>
      <c r="Q83" s="293"/>
      <c r="R83" s="293"/>
      <c r="S83" s="336"/>
      <c r="T83" s="330"/>
      <c r="U83" s="335"/>
      <c r="V83" s="335"/>
      <c r="W83" s="335"/>
      <c r="X83" s="335"/>
      <c r="Y83" s="316"/>
      <c r="Z83" s="316"/>
      <c r="AA83" s="316"/>
      <c r="AB83" s="316"/>
      <c r="AC83" s="323"/>
      <c r="AD83" s="323"/>
      <c r="AE83" s="323"/>
      <c r="AF83" s="316"/>
      <c r="AG83" s="316"/>
      <c r="AH83" s="316"/>
      <c r="AI83" s="316"/>
      <c r="AJ83" s="340"/>
      <c r="AK83" s="318"/>
    </row>
    <row r="84" spans="1:37" ht="15.75">
      <c r="A84" s="13"/>
      <c r="B84" s="35" t="s">
        <v>115</v>
      </c>
      <c r="C84" s="34"/>
      <c r="D84" s="34"/>
      <c r="E84" s="34"/>
      <c r="F84" s="34"/>
      <c r="G84" s="34"/>
      <c r="H84" s="33"/>
      <c r="I84" s="37">
        <f>I25</f>
        <v>16753.947904951994</v>
      </c>
      <c r="J84" s="24"/>
      <c r="K84" s="33"/>
      <c r="L84" s="33"/>
      <c r="M84" s="319" t="s">
        <v>503</v>
      </c>
      <c r="N84" s="293" t="s">
        <v>114</v>
      </c>
      <c r="O84" s="293"/>
      <c r="P84" s="293"/>
      <c r="Q84" s="293"/>
      <c r="R84" s="293"/>
      <c r="S84" s="336"/>
      <c r="T84" s="330">
        <v>0.057</v>
      </c>
      <c r="U84" s="335"/>
      <c r="V84" s="335"/>
      <c r="W84" s="335"/>
      <c r="X84" s="335"/>
      <c r="Y84" s="316" t="s">
        <v>495</v>
      </c>
      <c r="Z84" s="316" t="s">
        <v>496</v>
      </c>
      <c r="AA84" s="316" t="s">
        <v>497</v>
      </c>
      <c r="AB84" s="316"/>
      <c r="AC84" s="316" t="s">
        <v>495</v>
      </c>
      <c r="AD84" s="316" t="s">
        <v>496</v>
      </c>
      <c r="AE84" s="316" t="s">
        <v>497</v>
      </c>
      <c r="AF84" s="316"/>
      <c r="AG84" s="316" t="s">
        <v>523</v>
      </c>
      <c r="AH84" s="316" t="s">
        <v>513</v>
      </c>
      <c r="AI84" s="335"/>
      <c r="AJ84" s="340">
        <v>0.069</v>
      </c>
      <c r="AK84" s="318"/>
    </row>
    <row r="85" spans="1:37" ht="15.75">
      <c r="A85" s="13"/>
      <c r="B85" s="35" t="s">
        <v>113</v>
      </c>
      <c r="C85" s="34"/>
      <c r="D85" s="34"/>
      <c r="E85" s="34"/>
      <c r="F85" s="34"/>
      <c r="G85" s="34"/>
      <c r="H85" s="33"/>
      <c r="I85" s="37">
        <f>I81</f>
        <v>358424.31645</v>
      </c>
      <c r="J85" s="24">
        <f>I84/I85</f>
        <v>0.046743335025064246</v>
      </c>
      <c r="K85" s="33"/>
      <c r="L85" s="33"/>
      <c r="M85" s="319"/>
      <c r="N85" s="293"/>
      <c r="O85" s="351" t="s">
        <v>571</v>
      </c>
      <c r="P85" s="293"/>
      <c r="Q85" s="293">
        <v>0.1</v>
      </c>
      <c r="R85" s="293"/>
      <c r="S85" s="336"/>
      <c r="T85" s="330"/>
      <c r="U85" s="335"/>
      <c r="V85" s="335"/>
      <c r="W85" s="335"/>
      <c r="X85" s="335"/>
      <c r="Y85" s="316"/>
      <c r="Z85" s="316"/>
      <c r="AA85" s="316"/>
      <c r="AB85" s="316"/>
      <c r="AC85" s="316"/>
      <c r="AD85" s="316"/>
      <c r="AE85" s="316"/>
      <c r="AF85" s="316"/>
      <c r="AG85" s="316"/>
      <c r="AH85" s="316"/>
      <c r="AI85" s="335"/>
      <c r="AJ85" s="340"/>
      <c r="AK85" s="318"/>
    </row>
    <row r="86" spans="1:37" ht="15.75">
      <c r="A86" s="13"/>
      <c r="B86" s="33"/>
      <c r="C86" s="33"/>
      <c r="D86" s="33"/>
      <c r="E86" s="33"/>
      <c r="F86" s="33"/>
      <c r="G86" s="33"/>
      <c r="H86" s="33"/>
      <c r="I86" s="37"/>
      <c r="J86" s="24"/>
      <c r="K86" s="33"/>
      <c r="L86" s="33"/>
      <c r="M86" s="319"/>
      <c r="N86" s="293"/>
      <c r="O86" s="293"/>
      <c r="P86" s="293"/>
      <c r="Q86" s="293">
        <v>0.2</v>
      </c>
      <c r="R86" s="293"/>
      <c r="S86" s="336"/>
      <c r="T86" s="330"/>
      <c r="U86" s="335"/>
      <c r="V86" s="335"/>
      <c r="W86" s="335"/>
      <c r="X86" s="335"/>
      <c r="Y86" s="316"/>
      <c r="Z86" s="316"/>
      <c r="AA86" s="316"/>
      <c r="AB86" s="316"/>
      <c r="AC86" s="316"/>
      <c r="AD86" s="316"/>
      <c r="AE86" s="316"/>
      <c r="AF86" s="316"/>
      <c r="AG86" s="316"/>
      <c r="AH86" s="316"/>
      <c r="AI86" s="335"/>
      <c r="AJ86" s="340"/>
      <c r="AK86" s="318"/>
    </row>
    <row r="87" spans="1:37" ht="15.75">
      <c r="A87" s="17" t="s">
        <v>116</v>
      </c>
      <c r="B87" s="33"/>
      <c r="C87" s="33"/>
      <c r="D87" s="33"/>
      <c r="E87" s="33"/>
      <c r="F87" s="33"/>
      <c r="G87" s="33"/>
      <c r="H87" s="33"/>
      <c r="I87" s="37"/>
      <c r="J87" s="24"/>
      <c r="K87" s="33"/>
      <c r="L87" s="33"/>
      <c r="M87" s="319"/>
      <c r="N87" s="293"/>
      <c r="O87" s="293"/>
      <c r="P87" s="293"/>
      <c r="Q87" s="293"/>
      <c r="R87" s="293"/>
      <c r="S87" s="336"/>
      <c r="T87" s="330"/>
      <c r="U87" s="335"/>
      <c r="V87" s="335"/>
      <c r="W87" s="335"/>
      <c r="X87" s="335"/>
      <c r="Y87" s="316"/>
      <c r="Z87" s="316"/>
      <c r="AA87" s="316"/>
      <c r="AB87" s="316"/>
      <c r="AC87" s="316"/>
      <c r="AD87" s="316"/>
      <c r="AE87" s="316"/>
      <c r="AF87" s="316"/>
      <c r="AG87" s="316"/>
      <c r="AH87" s="316"/>
      <c r="AI87" s="335"/>
      <c r="AJ87" s="340"/>
      <c r="AK87" s="318"/>
    </row>
    <row r="88" spans="1:37" ht="15.75">
      <c r="A88" s="33"/>
      <c r="B88" s="35" t="s">
        <v>117</v>
      </c>
      <c r="C88" s="34"/>
      <c r="D88" s="34"/>
      <c r="E88" s="34"/>
      <c r="F88" s="34"/>
      <c r="G88" s="34"/>
      <c r="H88" s="33"/>
      <c r="I88" s="37">
        <f>Statements!O22</f>
        <v>29150.79179504799</v>
      </c>
      <c r="J88" s="24"/>
      <c r="K88" s="33"/>
      <c r="L88" s="33"/>
      <c r="M88" s="319"/>
      <c r="N88" s="293"/>
      <c r="O88" s="293"/>
      <c r="P88" s="293"/>
      <c r="Q88" s="293"/>
      <c r="R88" s="293"/>
      <c r="S88" s="336"/>
      <c r="T88" s="330"/>
      <c r="U88" s="335"/>
      <c r="V88" s="335"/>
      <c r="W88" s="335"/>
      <c r="X88" s="335"/>
      <c r="Y88" s="316"/>
      <c r="Z88" s="316"/>
      <c r="AA88" s="316"/>
      <c r="AB88" s="316"/>
      <c r="AC88" s="316"/>
      <c r="AD88" s="316"/>
      <c r="AE88" s="316"/>
      <c r="AF88" s="316"/>
      <c r="AG88" s="316"/>
      <c r="AH88" s="316"/>
      <c r="AI88" s="335"/>
      <c r="AJ88" s="340"/>
      <c r="AK88" s="318"/>
    </row>
    <row r="89" spans="1:37" ht="15.75">
      <c r="A89" s="33"/>
      <c r="B89" s="35" t="s">
        <v>113</v>
      </c>
      <c r="C89" s="34"/>
      <c r="D89" s="34"/>
      <c r="E89" s="34"/>
      <c r="F89" s="34"/>
      <c r="G89" s="34"/>
      <c r="H89" s="33"/>
      <c r="I89" s="370">
        <f>I85</f>
        <v>358424.31645</v>
      </c>
      <c r="J89" s="353">
        <f>I88/I89</f>
        <v>0.08133039656396893</v>
      </c>
      <c r="K89" s="33"/>
      <c r="L89" s="33"/>
      <c r="M89" s="303" t="s">
        <v>502</v>
      </c>
      <c r="N89" s="309" t="s">
        <v>116</v>
      </c>
      <c r="O89" s="309"/>
      <c r="P89" s="309"/>
      <c r="Q89" s="309"/>
      <c r="R89" s="309"/>
      <c r="S89" s="327"/>
      <c r="T89" s="343">
        <v>0.1167</v>
      </c>
      <c r="U89" s="344"/>
      <c r="V89" s="344"/>
      <c r="W89" s="344"/>
      <c r="X89" s="344"/>
      <c r="Y89" s="345" t="s">
        <v>497</v>
      </c>
      <c r="Z89" s="345" t="s">
        <v>496</v>
      </c>
      <c r="AA89" s="345" t="s">
        <v>495</v>
      </c>
      <c r="AB89" s="345"/>
      <c r="AC89" s="610" t="s">
        <v>554</v>
      </c>
      <c r="AD89" s="610"/>
      <c r="AE89" s="610"/>
      <c r="AF89" s="345"/>
      <c r="AG89" s="345" t="s">
        <v>525</v>
      </c>
      <c r="AH89" s="345" t="s">
        <v>524</v>
      </c>
      <c r="AI89" s="344"/>
      <c r="AJ89" s="346">
        <v>0.141</v>
      </c>
      <c r="AK89" s="318"/>
    </row>
    <row r="90" spans="1:37" ht="15.75">
      <c r="A90" s="33"/>
      <c r="B90" s="33"/>
      <c r="C90" s="33"/>
      <c r="D90" s="33"/>
      <c r="E90" s="33"/>
      <c r="F90" s="33"/>
      <c r="G90" s="33"/>
      <c r="H90" s="33"/>
      <c r="I90" s="40" t="s">
        <v>118</v>
      </c>
      <c r="J90" s="24">
        <f>SUM(J77:J89)</f>
        <v>0.9999999999999999</v>
      </c>
      <c r="K90" s="33"/>
      <c r="L90" s="33"/>
      <c r="M90" s="349"/>
      <c r="N90" s="318"/>
      <c r="O90" s="351" t="s">
        <v>571</v>
      </c>
      <c r="P90" s="318"/>
      <c r="Q90" s="318">
        <v>0.1</v>
      </c>
      <c r="R90" s="318"/>
      <c r="S90" s="349"/>
      <c r="T90" s="350"/>
      <c r="U90" s="315"/>
      <c r="V90" s="315"/>
      <c r="W90" s="315"/>
      <c r="X90" s="315"/>
      <c r="Y90" s="316"/>
      <c r="Z90" s="316"/>
      <c r="AA90" s="316"/>
      <c r="AB90" s="316"/>
      <c r="AC90" s="323"/>
      <c r="AD90" s="323"/>
      <c r="AE90" s="323"/>
      <c r="AF90" s="316"/>
      <c r="AG90" s="316"/>
      <c r="AH90" s="316"/>
      <c r="AI90" s="315"/>
      <c r="AJ90" s="340"/>
      <c r="AK90" s="293"/>
    </row>
    <row r="91" spans="1:37" ht="15.75">
      <c r="A91" s="33"/>
      <c r="B91" s="33"/>
      <c r="C91" s="33"/>
      <c r="D91" s="33"/>
      <c r="E91" s="33"/>
      <c r="F91" s="33"/>
      <c r="G91" s="33"/>
      <c r="H91" s="33"/>
      <c r="I91" s="33"/>
      <c r="J91" s="33"/>
      <c r="K91" s="33"/>
      <c r="L91" s="33"/>
      <c r="M91" s="349"/>
      <c r="N91" s="318"/>
      <c r="O91" s="318"/>
      <c r="P91" s="318"/>
      <c r="Q91" s="318">
        <v>0.2</v>
      </c>
      <c r="R91" s="318"/>
      <c r="S91" s="349"/>
      <c r="T91" s="350"/>
      <c r="U91" s="315"/>
      <c r="V91" s="315"/>
      <c r="W91" s="315"/>
      <c r="X91" s="315"/>
      <c r="Y91" s="316"/>
      <c r="Z91" s="316"/>
      <c r="AA91" s="316"/>
      <c r="AB91" s="316"/>
      <c r="AC91" s="323"/>
      <c r="AD91" s="323"/>
      <c r="AE91" s="323"/>
      <c r="AF91" s="316"/>
      <c r="AG91" s="316"/>
      <c r="AH91" s="316"/>
      <c r="AI91" s="315"/>
      <c r="AJ91" s="340"/>
      <c r="AK91" s="293"/>
    </row>
    <row r="92" spans="11:37" ht="15.75">
      <c r="K92" s="33"/>
      <c r="L92" s="33"/>
      <c r="M92" s="349"/>
      <c r="N92" s="318"/>
      <c r="O92" s="318"/>
      <c r="P92" s="318"/>
      <c r="Q92" s="318"/>
      <c r="R92" s="318"/>
      <c r="S92" s="349"/>
      <c r="T92" s="350"/>
      <c r="U92" s="315"/>
      <c r="V92" s="315"/>
      <c r="W92" s="315"/>
      <c r="X92" s="315"/>
      <c r="Y92" s="316"/>
      <c r="Z92" s="316"/>
      <c r="AA92" s="316"/>
      <c r="AB92" s="316"/>
      <c r="AC92" s="323"/>
      <c r="AD92" s="323"/>
      <c r="AE92" s="323"/>
      <c r="AF92" s="316"/>
      <c r="AG92" s="316"/>
      <c r="AH92" s="316"/>
      <c r="AI92" s="315"/>
      <c r="AJ92" s="340"/>
      <c r="AK92" s="293"/>
    </row>
    <row r="93" spans="11:37" ht="15.75">
      <c r="K93" s="83"/>
      <c r="L93" s="33"/>
      <c r="M93" s="349"/>
      <c r="N93" s="318"/>
      <c r="O93" s="318"/>
      <c r="P93" s="318"/>
      <c r="Q93" s="318"/>
      <c r="R93" s="318"/>
      <c r="S93" s="349"/>
      <c r="T93" s="350"/>
      <c r="U93" s="315"/>
      <c r="V93" s="315"/>
      <c r="W93" s="315"/>
      <c r="X93" s="315"/>
      <c r="Y93" s="316"/>
      <c r="Z93" s="316"/>
      <c r="AA93" s="316"/>
      <c r="AB93" s="316"/>
      <c r="AC93" s="323"/>
      <c r="AD93" s="323"/>
      <c r="AE93" s="323"/>
      <c r="AF93" s="316"/>
      <c r="AG93" s="316"/>
      <c r="AH93" s="316"/>
      <c r="AI93" s="315"/>
      <c r="AJ93" s="340"/>
      <c r="AK93" s="293"/>
    </row>
    <row r="94" spans="1:37" ht="15.75">
      <c r="A94" s="358" t="s">
        <v>56</v>
      </c>
      <c r="B94" s="221"/>
      <c r="C94" s="221"/>
      <c r="D94" s="221"/>
      <c r="E94" s="221"/>
      <c r="F94" s="221"/>
      <c r="G94" s="221"/>
      <c r="H94" s="369" t="s">
        <v>58</v>
      </c>
      <c r="I94" s="368" t="s">
        <v>59</v>
      </c>
      <c r="J94" s="607" t="s">
        <v>581</v>
      </c>
      <c r="K94" s="608"/>
      <c r="L94" s="33"/>
      <c r="M94" s="349"/>
      <c r="N94" s="318"/>
      <c r="O94" s="318"/>
      <c r="P94" s="318"/>
      <c r="Q94" s="318"/>
      <c r="R94" s="318"/>
      <c r="S94" s="349"/>
      <c r="T94" s="350"/>
      <c r="U94" s="315"/>
      <c r="V94" s="315"/>
      <c r="W94" s="315"/>
      <c r="X94" s="315"/>
      <c r="Y94" s="316"/>
      <c r="Z94" s="316"/>
      <c r="AA94" s="316"/>
      <c r="AB94" s="316"/>
      <c r="AC94" s="323"/>
      <c r="AD94" s="323"/>
      <c r="AE94" s="323"/>
      <c r="AF94" s="316"/>
      <c r="AG94" s="316"/>
      <c r="AH94" s="316"/>
      <c r="AI94" s="315"/>
      <c r="AJ94" s="340"/>
      <c r="AK94" s="293"/>
    </row>
    <row r="95" spans="1:37" ht="15.75">
      <c r="A95" s="449" t="s">
        <v>57</v>
      </c>
      <c r="B95" s="360"/>
      <c r="C95" s="360"/>
      <c r="D95" s="360"/>
      <c r="E95" s="360"/>
      <c r="F95" s="360"/>
      <c r="H95" s="362">
        <f>$H$8</f>
        <v>6.444808233873429</v>
      </c>
      <c r="I95" s="362">
        <f>$J$8</f>
        <v>6.6119357636239595</v>
      </c>
      <c r="J95" s="296">
        <v>1</v>
      </c>
      <c r="K95" s="296">
        <v>1.5</v>
      </c>
      <c r="L95" s="33"/>
      <c r="M95" s="349"/>
      <c r="N95" s="318"/>
      <c r="O95" s="318"/>
      <c r="P95" s="318"/>
      <c r="Q95" s="318"/>
      <c r="R95" s="318"/>
      <c r="S95" s="349"/>
      <c r="T95" s="350"/>
      <c r="U95" s="315"/>
      <c r="V95" s="315"/>
      <c r="W95" s="315"/>
      <c r="X95" s="315"/>
      <c r="Y95" s="316"/>
      <c r="Z95" s="316"/>
      <c r="AA95" s="316"/>
      <c r="AB95" s="316"/>
      <c r="AC95" s="323"/>
      <c r="AD95" s="323"/>
      <c r="AE95" s="323"/>
      <c r="AF95" s="316"/>
      <c r="AG95" s="316"/>
      <c r="AH95" s="316"/>
      <c r="AI95" s="315"/>
      <c r="AJ95" s="340"/>
      <c r="AK95" s="293"/>
    </row>
    <row r="96" spans="1:36" ht="15.75">
      <c r="A96" s="449" t="s">
        <v>62</v>
      </c>
      <c r="B96" s="360"/>
      <c r="C96" s="360"/>
      <c r="D96" s="360"/>
      <c r="E96" s="360"/>
      <c r="F96" s="360"/>
      <c r="H96" s="363">
        <f>$H$11</f>
        <v>198452.05748940934</v>
      </c>
      <c r="I96" s="363">
        <f>$J$11</f>
        <v>204543.5120856937</v>
      </c>
      <c r="J96" s="534">
        <v>125000</v>
      </c>
      <c r="K96" s="534">
        <v>250000</v>
      </c>
      <c r="L96" s="33"/>
      <c r="M96" s="349"/>
      <c r="N96" s="318"/>
      <c r="O96" s="318"/>
      <c r="P96" s="318"/>
      <c r="Q96" s="318"/>
      <c r="R96" s="318"/>
      <c r="S96" s="349"/>
      <c r="T96" s="350"/>
      <c r="U96" s="315"/>
      <c r="V96" s="315"/>
      <c r="W96" s="315"/>
      <c r="X96" s="315"/>
      <c r="Y96" s="316"/>
      <c r="Z96" s="316"/>
      <c r="AA96" s="316"/>
      <c r="AB96" s="316"/>
      <c r="AC96" s="323"/>
      <c r="AD96" s="323"/>
      <c r="AE96" s="323"/>
      <c r="AF96" s="316"/>
      <c r="AG96" s="316"/>
      <c r="AH96" s="316"/>
      <c r="AI96" s="315"/>
      <c r="AJ96" s="340"/>
    </row>
    <row r="97" spans="1:36" ht="16.5">
      <c r="A97" s="358" t="s">
        <v>65</v>
      </c>
      <c r="B97" s="366"/>
      <c r="C97" s="366"/>
      <c r="D97" s="366"/>
      <c r="E97" s="366"/>
      <c r="F97" s="366"/>
      <c r="G97" s="221"/>
      <c r="H97" s="367"/>
      <c r="I97" s="367"/>
      <c r="J97" s="199"/>
      <c r="K97" s="199"/>
      <c r="L97" s="33"/>
      <c r="M97" s="293"/>
      <c r="N97" s="347" t="s">
        <v>566</v>
      </c>
      <c r="O97" s="293"/>
      <c r="P97" s="293"/>
      <c r="Q97" s="293"/>
      <c r="R97" s="293"/>
      <c r="S97" s="293"/>
      <c r="T97" s="293"/>
      <c r="U97" s="293"/>
      <c r="V97" s="293"/>
      <c r="W97" s="293"/>
      <c r="X97" s="293"/>
      <c r="Y97" s="293"/>
      <c r="Z97" s="293"/>
      <c r="AA97" s="293"/>
      <c r="AB97" s="293"/>
      <c r="AC97" s="293"/>
      <c r="AD97" s="293"/>
      <c r="AE97" s="293"/>
      <c r="AF97" s="293"/>
      <c r="AG97" s="293"/>
      <c r="AH97" s="293"/>
      <c r="AI97" s="293"/>
      <c r="AJ97" s="296"/>
    </row>
    <row r="98" spans="1:36" ht="16.5">
      <c r="A98" s="449" t="s">
        <v>66</v>
      </c>
      <c r="B98" s="360"/>
      <c r="C98" s="360"/>
      <c r="D98" s="360"/>
      <c r="E98" s="360"/>
      <c r="F98" s="360"/>
      <c r="H98" s="365">
        <f>$H$15</f>
        <v>0.18241578450131593</v>
      </c>
      <c r="I98" s="387">
        <f>$J$15</f>
        <v>0.17772140956161966</v>
      </c>
      <c r="J98" s="535">
        <v>0.3</v>
      </c>
      <c r="K98" s="536">
        <v>0.7</v>
      </c>
      <c r="L98" s="33"/>
      <c r="M98" s="293"/>
      <c r="N98" s="348" t="s">
        <v>567</v>
      </c>
      <c r="O98" s="293"/>
      <c r="P98" s="293"/>
      <c r="Q98" s="293"/>
      <c r="R98" s="293"/>
      <c r="S98" s="293"/>
      <c r="T98" s="293"/>
      <c r="U98" s="293"/>
      <c r="V98" s="293"/>
      <c r="W98" s="293"/>
      <c r="X98" s="293"/>
      <c r="Y98" s="293"/>
      <c r="Z98" s="293"/>
      <c r="AA98" s="293"/>
      <c r="AB98" s="293"/>
      <c r="AC98" s="293"/>
      <c r="AD98" s="293"/>
      <c r="AE98" s="293"/>
      <c r="AF98" s="293"/>
      <c r="AG98" s="293"/>
      <c r="AH98" s="293"/>
      <c r="AI98" s="293"/>
      <c r="AJ98" s="293"/>
    </row>
    <row r="99" spans="1:36" ht="16.5">
      <c r="A99" s="449" t="s">
        <v>69</v>
      </c>
      <c r="B99" s="360"/>
      <c r="C99" s="360"/>
      <c r="D99" s="360"/>
      <c r="E99" s="360"/>
      <c r="F99" s="360"/>
      <c r="H99" s="365">
        <f>$H$18</f>
        <v>0.8175842154986841</v>
      </c>
      <c r="I99" s="387">
        <f>$J$18</f>
        <v>0.8222785904383804</v>
      </c>
      <c r="J99" s="535">
        <v>0.4</v>
      </c>
      <c r="K99" s="535">
        <v>0.7</v>
      </c>
      <c r="L99" s="33"/>
      <c r="M99" s="293"/>
      <c r="N99" s="348" t="s">
        <v>568</v>
      </c>
      <c r="O99" s="293"/>
      <c r="P99" s="293"/>
      <c r="Q99" s="293"/>
      <c r="R99" s="293"/>
      <c r="S99" s="293"/>
      <c r="T99" s="293"/>
      <c r="U99" s="293"/>
      <c r="V99" s="293"/>
      <c r="W99" s="293"/>
      <c r="X99" s="293"/>
      <c r="Y99" s="293"/>
      <c r="Z99" s="293"/>
      <c r="AA99" s="293"/>
      <c r="AB99" s="293"/>
      <c r="AC99" s="293"/>
      <c r="AD99" s="293"/>
      <c r="AE99" s="293"/>
      <c r="AF99" s="293"/>
      <c r="AG99" s="293"/>
      <c r="AH99" s="293"/>
      <c r="AI99" s="293"/>
      <c r="AJ99" s="293"/>
    </row>
    <row r="100" spans="1:36" ht="16.5">
      <c r="A100" s="449" t="s">
        <v>71</v>
      </c>
      <c r="B100" s="360"/>
      <c r="C100" s="360"/>
      <c r="D100" s="360"/>
      <c r="E100" s="360"/>
      <c r="F100" s="360"/>
      <c r="H100" s="362">
        <f>$H$21</f>
        <v>0.22311558986012436</v>
      </c>
      <c r="I100" s="387">
        <f>$J$21</f>
        <v>0.21613284308773173</v>
      </c>
      <c r="J100" s="535">
        <v>0.5</v>
      </c>
      <c r="K100" s="535">
        <v>1.5</v>
      </c>
      <c r="L100" s="33"/>
      <c r="M100" s="293"/>
      <c r="N100" s="348" t="s">
        <v>631</v>
      </c>
      <c r="O100" s="293"/>
      <c r="P100" s="293"/>
      <c r="Q100" s="293"/>
      <c r="R100" s="293"/>
      <c r="S100" s="293"/>
      <c r="T100" s="293"/>
      <c r="U100" s="293"/>
      <c r="V100" s="293"/>
      <c r="W100" s="293"/>
      <c r="X100" s="293"/>
      <c r="Y100" s="293"/>
      <c r="Z100" s="293"/>
      <c r="AA100" s="293"/>
      <c r="AB100" s="293"/>
      <c r="AC100" s="293"/>
      <c r="AD100" s="293"/>
      <c r="AE100" s="293"/>
      <c r="AF100" s="293"/>
      <c r="AG100" s="293"/>
      <c r="AH100" s="293"/>
      <c r="AI100" s="293"/>
      <c r="AJ100" s="293"/>
    </row>
    <row r="101" spans="1:36" ht="16.5">
      <c r="A101" s="358" t="s">
        <v>73</v>
      </c>
      <c r="B101" s="366"/>
      <c r="C101" s="366"/>
      <c r="D101" s="366"/>
      <c r="E101" s="366"/>
      <c r="F101" s="366"/>
      <c r="G101" s="221"/>
      <c r="H101" s="367"/>
      <c r="I101" s="385" t="s">
        <v>59</v>
      </c>
      <c r="J101" s="199"/>
      <c r="K101" s="199"/>
      <c r="L101" s="33"/>
      <c r="M101" s="293"/>
      <c r="N101" s="348" t="s">
        <v>569</v>
      </c>
      <c r="O101" s="293"/>
      <c r="P101" s="293"/>
      <c r="Q101" s="293"/>
      <c r="R101" s="293"/>
      <c r="S101" s="293"/>
      <c r="T101" s="293"/>
      <c r="U101" s="293"/>
      <c r="V101" s="293"/>
      <c r="W101" s="293"/>
      <c r="X101" s="293"/>
      <c r="Y101" s="293"/>
      <c r="Z101" s="293"/>
      <c r="AA101" s="293"/>
      <c r="AB101" s="293"/>
      <c r="AC101" s="293"/>
      <c r="AD101" s="293"/>
      <c r="AE101" s="293"/>
      <c r="AF101" s="293"/>
      <c r="AG101" s="293"/>
      <c r="AH101" s="293"/>
      <c r="AI101" s="293"/>
      <c r="AJ101" s="293"/>
    </row>
    <row r="102" spans="1:36" ht="16.5">
      <c r="A102" s="449" t="s">
        <v>74</v>
      </c>
      <c r="B102" s="360"/>
      <c r="C102" s="360"/>
      <c r="D102" s="360"/>
      <c r="E102" s="360"/>
      <c r="F102" s="360"/>
      <c r="H102" s="364"/>
      <c r="I102" s="365">
        <f>$J$27</f>
        <v>0.013183323471281247</v>
      </c>
      <c r="J102" s="537">
        <v>0.01</v>
      </c>
      <c r="K102" s="537">
        <v>0.05</v>
      </c>
      <c r="L102" s="33"/>
      <c r="M102" s="293"/>
      <c r="N102" s="348" t="s">
        <v>570</v>
      </c>
      <c r="O102" s="293"/>
      <c r="P102" s="293"/>
      <c r="Q102" s="293"/>
      <c r="R102" s="293"/>
      <c r="S102" s="293"/>
      <c r="T102" s="293"/>
      <c r="U102" s="293"/>
      <c r="V102" s="293"/>
      <c r="W102" s="293"/>
      <c r="X102" s="293"/>
      <c r="Y102" s="293"/>
      <c r="Z102" s="293"/>
      <c r="AA102" s="293"/>
      <c r="AB102" s="293"/>
      <c r="AC102" s="293"/>
      <c r="AD102" s="293"/>
      <c r="AE102" s="293"/>
      <c r="AF102" s="293"/>
      <c r="AG102" s="293"/>
      <c r="AH102" s="293"/>
      <c r="AI102" s="293"/>
      <c r="AJ102" s="293"/>
    </row>
    <row r="103" spans="1:12" ht="15.75">
      <c r="A103" s="449" t="s">
        <v>79</v>
      </c>
      <c r="B103" s="360"/>
      <c r="C103" s="360"/>
      <c r="D103" s="360"/>
      <c r="E103" s="360"/>
      <c r="F103" s="360"/>
      <c r="H103" s="364"/>
      <c r="I103" s="365">
        <f>$J$32</f>
        <v>0.0031926014781620514</v>
      </c>
      <c r="J103" s="537">
        <v>0.05</v>
      </c>
      <c r="K103" s="537">
        <v>0.1</v>
      </c>
      <c r="L103" s="33"/>
    </row>
    <row r="104" spans="1:12" ht="15.75">
      <c r="A104" s="449" t="s">
        <v>81</v>
      </c>
      <c r="B104" s="360"/>
      <c r="C104" s="360"/>
      <c r="D104" s="360"/>
      <c r="E104" s="360"/>
      <c r="F104" s="360"/>
      <c r="H104" s="448"/>
      <c r="I104" s="362">
        <f>$J$38</f>
        <v>0.058323999629964235</v>
      </c>
      <c r="J104" s="296">
        <v>0.2</v>
      </c>
      <c r="K104" s="296">
        <v>0.35</v>
      </c>
      <c r="L104" s="33"/>
    </row>
    <row r="105" spans="1:12" ht="15">
      <c r="A105" s="449" t="s">
        <v>83</v>
      </c>
      <c r="B105" s="360"/>
      <c r="C105" s="360"/>
      <c r="D105" s="360"/>
      <c r="E105" s="360"/>
      <c r="F105" s="360"/>
      <c r="H105" s="364"/>
      <c r="I105" s="363">
        <f>$J$42</f>
        <v>29150.79179504799</v>
      </c>
      <c r="J105" s="534">
        <v>30000</v>
      </c>
      <c r="K105" s="534">
        <v>100000</v>
      </c>
      <c r="L105" s="33"/>
    </row>
    <row r="106" spans="1:12" ht="15">
      <c r="A106" s="358" t="s">
        <v>86</v>
      </c>
      <c r="B106" s="366"/>
      <c r="C106" s="366"/>
      <c r="D106" s="366"/>
      <c r="E106" s="366"/>
      <c r="F106" s="366"/>
      <c r="G106" s="221"/>
      <c r="H106" s="367"/>
      <c r="I106" s="367"/>
      <c r="J106" s="199"/>
      <c r="K106" s="199"/>
      <c r="L106" s="33"/>
    </row>
    <row r="107" spans="1:12" ht="15.75">
      <c r="A107" s="449" t="s">
        <v>87</v>
      </c>
      <c r="B107" s="360"/>
      <c r="C107" s="360"/>
      <c r="D107" s="360"/>
      <c r="E107" s="360"/>
      <c r="F107" s="360"/>
      <c r="H107" s="364"/>
      <c r="I107" s="362">
        <f>$J$55</f>
        <v>1.2757839467199195</v>
      </c>
      <c r="J107" s="296">
        <v>1.1</v>
      </c>
      <c r="K107" s="296">
        <v>1.35</v>
      </c>
      <c r="L107" s="33"/>
    </row>
    <row r="108" spans="1:12" ht="15">
      <c r="A108" s="449" t="s">
        <v>96</v>
      </c>
      <c r="B108" s="360"/>
      <c r="C108" s="360"/>
      <c r="D108" s="360"/>
      <c r="E108" s="360"/>
      <c r="F108" s="360"/>
      <c r="H108" s="364"/>
      <c r="I108" s="363">
        <f>$J$66</f>
        <v>6742.350074752383</v>
      </c>
      <c r="J108" s="534">
        <v>5000</v>
      </c>
      <c r="K108" s="534">
        <v>150000</v>
      </c>
      <c r="L108" s="33"/>
    </row>
    <row r="109" spans="1:12" ht="15.75">
      <c r="A109" s="358" t="s">
        <v>103</v>
      </c>
      <c r="B109" s="366"/>
      <c r="C109" s="366"/>
      <c r="D109" s="366"/>
      <c r="E109" s="366"/>
      <c r="F109" s="366"/>
      <c r="G109" s="221"/>
      <c r="H109" s="367"/>
      <c r="I109" s="367"/>
      <c r="J109" s="296"/>
      <c r="K109" s="199"/>
      <c r="L109" s="33"/>
    </row>
    <row r="110" spans="1:12" ht="15.75">
      <c r="A110" s="449" t="s">
        <v>104</v>
      </c>
      <c r="B110" s="360"/>
      <c r="C110" s="360"/>
      <c r="D110" s="360"/>
      <c r="E110" s="360"/>
      <c r="F110" s="360"/>
      <c r="H110" s="364"/>
      <c r="I110" s="362">
        <f>$J$73</f>
        <v>0.22603599812980332</v>
      </c>
      <c r="J110" s="538">
        <v>0.2</v>
      </c>
      <c r="K110" s="538">
        <v>0.4</v>
      </c>
      <c r="L110" s="33"/>
    </row>
    <row r="111" spans="1:12" ht="15.75">
      <c r="A111" s="449" t="s">
        <v>107</v>
      </c>
      <c r="B111" s="360"/>
      <c r="C111" s="360"/>
      <c r="D111" s="360"/>
      <c r="E111" s="360"/>
      <c r="F111" s="360"/>
      <c r="H111" s="364"/>
      <c r="I111" s="362">
        <f>$J$77</f>
        <v>0.7756716383074517</v>
      </c>
      <c r="J111" s="538">
        <v>0.6</v>
      </c>
      <c r="K111" s="538">
        <v>0.8</v>
      </c>
      <c r="L111" s="33"/>
    </row>
    <row r="112" spans="1:12" ht="15.75">
      <c r="A112" s="449" t="s">
        <v>111</v>
      </c>
      <c r="B112" s="360"/>
      <c r="C112" s="360"/>
      <c r="D112" s="360"/>
      <c r="E112" s="360"/>
      <c r="F112" s="360"/>
      <c r="H112" s="364"/>
      <c r="I112" s="362">
        <f>$J$81</f>
        <v>0.09625463010351512</v>
      </c>
      <c r="J112" s="538">
        <v>0.1</v>
      </c>
      <c r="K112" s="538">
        <v>0.2</v>
      </c>
      <c r="L112" s="33"/>
    </row>
    <row r="113" spans="1:12" ht="15.75">
      <c r="A113" s="449" t="s">
        <v>114</v>
      </c>
      <c r="B113" s="360"/>
      <c r="C113" s="360"/>
      <c r="D113" s="360"/>
      <c r="E113" s="360"/>
      <c r="F113" s="360"/>
      <c r="H113" s="364"/>
      <c r="I113" s="362">
        <f>$J$85</f>
        <v>0.046743335025064246</v>
      </c>
      <c r="J113" s="538">
        <v>0.1</v>
      </c>
      <c r="K113" s="538">
        <v>0.2</v>
      </c>
      <c r="L113" s="33"/>
    </row>
    <row r="114" spans="1:12" ht="15.75">
      <c r="A114" s="449" t="s">
        <v>116</v>
      </c>
      <c r="B114" s="360"/>
      <c r="C114" s="360"/>
      <c r="D114" s="360"/>
      <c r="E114" s="360"/>
      <c r="F114" s="360"/>
      <c r="H114" s="364"/>
      <c r="I114" s="386">
        <f>$J$89</f>
        <v>0.08133039656396893</v>
      </c>
      <c r="J114" s="539">
        <v>0.1</v>
      </c>
      <c r="K114" s="539">
        <v>0.2</v>
      </c>
      <c r="L114" s="33"/>
    </row>
    <row r="115" spans="1:12" ht="15.75">
      <c r="A115" s="361"/>
      <c r="B115" s="360"/>
      <c r="C115" s="360"/>
      <c r="D115" s="360"/>
      <c r="E115" s="360"/>
      <c r="F115" s="360"/>
      <c r="H115" s="359" t="str">
        <f>I90</f>
        <v>Check Sum</v>
      </c>
      <c r="I115" s="365">
        <f>J90</f>
        <v>0.9999999999999999</v>
      </c>
      <c r="L115" s="33"/>
    </row>
    <row r="116" spans="10:12" ht="15.75">
      <c r="J116" s="293"/>
      <c r="L116" s="33"/>
    </row>
    <row r="117" spans="1:12" ht="15.75">
      <c r="A117" s="13"/>
      <c r="L117" s="33"/>
    </row>
    <row r="118" spans="1:12" ht="15.75">
      <c r="A118" s="13"/>
      <c r="L118" s="33"/>
    </row>
  </sheetData>
  <sheetProtection formatCells="0" formatColumns="0" formatRows="0"/>
  <mergeCells count="9">
    <mergeCell ref="J94:K94"/>
    <mergeCell ref="AC79:AE79"/>
    <mergeCell ref="AC89:AE89"/>
    <mergeCell ref="U5:AE5"/>
    <mergeCell ref="U13:W13"/>
    <mergeCell ref="S6:T6"/>
    <mergeCell ref="AC41:AE41"/>
    <mergeCell ref="AC69:AE69"/>
    <mergeCell ref="AC13:AE13"/>
  </mergeCells>
  <printOptions/>
  <pageMargins left="0.5" right="0.5" top="0.5" bottom="0.5" header="0.5" footer="0.5"/>
  <pageSetup fitToHeight="1" fitToWidth="1" horizontalDpi="300" verticalDpi="300" orientation="portrait" scale="54" r:id="rId1"/>
</worksheet>
</file>

<file path=xl/worksheets/sheet8.xml><?xml version="1.0" encoding="utf-8"?>
<worksheet xmlns="http://schemas.openxmlformats.org/spreadsheetml/2006/main" xmlns:r="http://schemas.openxmlformats.org/officeDocument/2006/relationships">
  <sheetPr codeName="Sheet7"/>
  <dimension ref="B3:K60"/>
  <sheetViews>
    <sheetView showGridLines="0" zoomScalePageLayoutView="0" workbookViewId="0" topLeftCell="A1">
      <selection activeCell="C11" sqref="C11"/>
    </sheetView>
  </sheetViews>
  <sheetFormatPr defaultColWidth="9.140625" defaultRowHeight="12.75"/>
  <cols>
    <col min="1" max="1" width="2.8515625" style="0" customWidth="1"/>
    <col min="2" max="2" width="3.8515625" style="0" customWidth="1"/>
    <col min="8" max="8" width="11.57421875" style="0" customWidth="1"/>
    <col min="9" max="9" width="13.140625" style="0" customWidth="1"/>
    <col min="10" max="10" width="12.28125" style="0" customWidth="1"/>
  </cols>
  <sheetData>
    <row r="3" spans="2:3" ht="15.75">
      <c r="B3" s="116" t="s">
        <v>334</v>
      </c>
      <c r="C3" s="116"/>
    </row>
    <row r="4" spans="2:3" ht="15.75">
      <c r="B4" s="116"/>
      <c r="C4" s="116" t="s">
        <v>337</v>
      </c>
    </row>
    <row r="5" ht="15.75">
      <c r="B5" s="116" t="s">
        <v>335</v>
      </c>
    </row>
    <row r="6" spans="2:3" ht="15.75">
      <c r="B6" s="116"/>
      <c r="C6" s="116" t="s">
        <v>336</v>
      </c>
    </row>
    <row r="8" spans="2:11" ht="15.75">
      <c r="B8" s="617" t="s">
        <v>312</v>
      </c>
      <c r="C8" s="618"/>
      <c r="D8" s="618"/>
      <c r="E8" s="618"/>
      <c r="F8" s="618"/>
      <c r="G8" s="618"/>
      <c r="H8" s="618"/>
      <c r="I8" s="618"/>
      <c r="J8" s="618"/>
      <c r="K8" s="619"/>
    </row>
    <row r="9" spans="8:10" ht="12.75">
      <c r="H9" s="104" t="s">
        <v>59</v>
      </c>
      <c r="I9" s="104" t="s">
        <v>58</v>
      </c>
      <c r="J9" s="90" t="s">
        <v>298</v>
      </c>
    </row>
    <row r="10" spans="8:10" ht="12.75">
      <c r="H10" s="91" t="s">
        <v>295</v>
      </c>
      <c r="I10" s="91" t="s">
        <v>295</v>
      </c>
      <c r="J10" s="104" t="s">
        <v>238</v>
      </c>
    </row>
    <row r="11" spans="8:10" ht="12.75">
      <c r="H11" s="91" t="s">
        <v>297</v>
      </c>
      <c r="I11" s="91" t="s">
        <v>297</v>
      </c>
      <c r="J11" s="99" t="s">
        <v>301</v>
      </c>
    </row>
    <row r="12" spans="8:10" ht="12.75">
      <c r="H12" s="104" t="s">
        <v>296</v>
      </c>
      <c r="I12" s="104" t="s">
        <v>296</v>
      </c>
      <c r="J12" s="91" t="s">
        <v>238</v>
      </c>
    </row>
    <row r="13" spans="2:10" ht="12.75">
      <c r="B13" s="101" t="str">
        <f>Statements!$K$7</f>
        <v>Non-Cash Income Adjustments</v>
      </c>
      <c r="C13" s="33"/>
      <c r="D13" s="33"/>
      <c r="E13" s="33"/>
      <c r="H13" s="105" t="s">
        <v>122</v>
      </c>
      <c r="I13" s="105" t="s">
        <v>122</v>
      </c>
      <c r="J13" s="92" t="s">
        <v>299</v>
      </c>
    </row>
    <row r="14" spans="3:10" ht="12.75">
      <c r="C14" s="102" t="str">
        <f>Statements!B8</f>
        <v>Crops Held for Sale (Inc)</v>
      </c>
      <c r="D14" s="33"/>
      <c r="E14" s="33"/>
      <c r="F14" s="33"/>
      <c r="H14" s="95">
        <f>Statements!E8</f>
        <v>200000</v>
      </c>
      <c r="I14" s="95">
        <f>Statements!D8</f>
        <v>200000</v>
      </c>
      <c r="J14" s="93">
        <f>H14-I14</f>
        <v>0</v>
      </c>
    </row>
    <row r="15" spans="3:10" ht="12.75">
      <c r="C15" s="102" t="str">
        <f>Statements!B9</f>
        <v>Market Livestock (Inc)</v>
      </c>
      <c r="D15" s="33"/>
      <c r="E15" s="33"/>
      <c r="F15" s="33"/>
      <c r="H15" s="96">
        <f>Statements!E9</f>
        <v>0</v>
      </c>
      <c r="I15" s="96">
        <f>Statements!D9</f>
        <v>0</v>
      </c>
      <c r="J15" s="93">
        <f>H15-I15</f>
        <v>0</v>
      </c>
    </row>
    <row r="16" spans="3:10" ht="13.5" thickBot="1">
      <c r="C16" s="102" t="str">
        <f>Statements!B10</f>
        <v>Other Current Assets (Inc)</v>
      </c>
      <c r="D16" s="33"/>
      <c r="E16" s="33"/>
      <c r="F16" s="33"/>
      <c r="H16" s="97">
        <f>Statements!E10</f>
        <v>15000</v>
      </c>
      <c r="I16" s="97">
        <f>Statements!D10</f>
        <v>15000</v>
      </c>
      <c r="J16" s="94">
        <f>H16-I16</f>
        <v>0</v>
      </c>
    </row>
    <row r="17" spans="9:10" ht="13.5" thickTop="1">
      <c r="I17" s="98" t="s">
        <v>300</v>
      </c>
      <c r="J17" s="93">
        <f>SUM(J14:J16)</f>
        <v>0</v>
      </c>
    </row>
    <row r="19" spans="2:10" ht="12.75">
      <c r="B19" s="101" t="str">
        <f>Statements!$K$8</f>
        <v>Non-Cash Income (Raised Brdg Lvstk)</v>
      </c>
      <c r="J19" s="93">
        <f>Statements!$O$8</f>
        <v>0</v>
      </c>
    </row>
    <row r="20" ht="12.75">
      <c r="C20" t="s">
        <v>333</v>
      </c>
    </row>
    <row r="22" spans="2:11" ht="15.75">
      <c r="B22" s="617" t="s">
        <v>311</v>
      </c>
      <c r="C22" s="618"/>
      <c r="D22" s="618"/>
      <c r="E22" s="618"/>
      <c r="F22" s="618"/>
      <c r="G22" s="618"/>
      <c r="H22" s="618"/>
      <c r="I22" s="618"/>
      <c r="J22" s="618"/>
      <c r="K22" s="619"/>
    </row>
    <row r="23" spans="8:10" ht="12.75">
      <c r="H23" s="104" t="s">
        <v>59</v>
      </c>
      <c r="I23" s="104" t="s">
        <v>58</v>
      </c>
      <c r="J23" s="90" t="s">
        <v>298</v>
      </c>
    </row>
    <row r="24" spans="8:10" ht="12.75">
      <c r="H24" s="91" t="s">
        <v>295</v>
      </c>
      <c r="I24" s="91" t="s">
        <v>295</v>
      </c>
      <c r="J24" s="104" t="s">
        <v>240</v>
      </c>
    </row>
    <row r="25" spans="8:10" ht="12.75">
      <c r="H25" s="91" t="s">
        <v>297</v>
      </c>
      <c r="I25" s="91" t="s">
        <v>297</v>
      </c>
      <c r="J25" s="99" t="s">
        <v>301</v>
      </c>
    </row>
    <row r="26" spans="8:10" ht="12.75">
      <c r="H26" s="104" t="s">
        <v>296</v>
      </c>
      <c r="I26" s="104" t="s">
        <v>296</v>
      </c>
      <c r="J26" s="91" t="s">
        <v>238</v>
      </c>
    </row>
    <row r="27" spans="2:10" ht="12.75">
      <c r="B27" s="101" t="str">
        <f>Statements!$K$13</f>
        <v>Non-Cash Feed Inventory Adjustment</v>
      </c>
      <c r="H27" s="105" t="s">
        <v>122</v>
      </c>
      <c r="I27" s="105" t="s">
        <v>122</v>
      </c>
      <c r="J27" s="92" t="s">
        <v>299</v>
      </c>
    </row>
    <row r="28" spans="3:10" ht="12.75">
      <c r="C28" s="102" t="str">
        <f>Statements!B7</f>
        <v>Crops Held for Feed (Exp)</v>
      </c>
      <c r="H28" s="100">
        <f>Statements!E7</f>
        <v>8400</v>
      </c>
      <c r="I28" s="100">
        <f>Statements!D7</f>
        <v>8400</v>
      </c>
      <c r="J28" s="93">
        <f>H28-I28</f>
        <v>0</v>
      </c>
    </row>
    <row r="31" spans="8:10" ht="12.75">
      <c r="H31" s="108" t="s">
        <v>59</v>
      </c>
      <c r="I31" s="108" t="s">
        <v>58</v>
      </c>
      <c r="J31" s="90" t="s">
        <v>298</v>
      </c>
    </row>
    <row r="32" spans="8:10" ht="12.75">
      <c r="H32" s="91" t="s">
        <v>295</v>
      </c>
      <c r="I32" s="91" t="s">
        <v>295</v>
      </c>
      <c r="J32" s="104" t="s">
        <v>240</v>
      </c>
    </row>
    <row r="33" spans="8:10" ht="12.75">
      <c r="H33" s="91" t="s">
        <v>297</v>
      </c>
      <c r="I33" s="91" t="s">
        <v>297</v>
      </c>
      <c r="J33" s="99" t="s">
        <v>301</v>
      </c>
    </row>
    <row r="34" spans="8:10" ht="12.75">
      <c r="H34" s="105" t="s">
        <v>296</v>
      </c>
      <c r="I34" s="105" t="s">
        <v>296</v>
      </c>
      <c r="J34" s="91" t="s">
        <v>238</v>
      </c>
    </row>
    <row r="35" spans="2:10" ht="12.75">
      <c r="B35" s="101" t="str">
        <f>Statements!$K$14</f>
        <v>Other Non-Cash Non-Interest Expense</v>
      </c>
      <c r="H35" s="107" t="s">
        <v>122</v>
      </c>
      <c r="I35" s="107" t="s">
        <v>122</v>
      </c>
      <c r="J35" s="92" t="s">
        <v>299</v>
      </c>
    </row>
    <row r="36" spans="3:10" ht="12.75">
      <c r="C36" s="102" t="str">
        <f>Statements!B11</f>
        <v>Cash Invt Growing Crops (Exp)</v>
      </c>
      <c r="H36" s="103">
        <f>Statements!E11</f>
        <v>0</v>
      </c>
      <c r="I36" s="103">
        <f>Statements!D11</f>
        <v>0</v>
      </c>
      <c r="J36" s="93">
        <f aca="true" t="shared" si="0" ref="J36:J41">H36-I36</f>
        <v>0</v>
      </c>
    </row>
    <row r="37" spans="3:10" ht="12.75">
      <c r="C37" s="102" t="str">
        <f>Statements!B12</f>
        <v>Supplies&amp;Prepaid Exp. (Exp)</v>
      </c>
      <c r="H37" s="103">
        <f>Statements!E12</f>
        <v>10000</v>
      </c>
      <c r="I37" s="103">
        <f>Statements!D12</f>
        <v>10000</v>
      </c>
      <c r="J37" s="93">
        <f t="shared" si="0"/>
        <v>0</v>
      </c>
    </row>
    <row r="38" spans="3:10" ht="12.75">
      <c r="C38" s="111"/>
      <c r="D38" s="42"/>
      <c r="E38" s="42"/>
      <c r="F38" s="42"/>
      <c r="G38" s="42"/>
      <c r="H38" s="106" t="s">
        <v>123</v>
      </c>
      <c r="I38" s="106" t="s">
        <v>123</v>
      </c>
      <c r="J38" s="109"/>
    </row>
    <row r="39" spans="3:10" ht="12.75">
      <c r="C39" s="102" t="str">
        <f>Statements!F6</f>
        <v>Accounts Payable (Exp)</v>
      </c>
      <c r="H39" s="103">
        <f>Statements!I6</f>
        <v>2000</v>
      </c>
      <c r="I39" s="103">
        <f>Statements!H6</f>
        <v>2000</v>
      </c>
      <c r="J39" s="93">
        <f t="shared" si="0"/>
        <v>0</v>
      </c>
    </row>
    <row r="40" spans="3:10" ht="12.75">
      <c r="C40" s="102" t="str">
        <f>Statements!F9</f>
        <v>Other Current Liability (Exp)</v>
      </c>
      <c r="H40" s="103">
        <f>Statements!I9</f>
        <v>10000</v>
      </c>
      <c r="I40" s="103">
        <f>Statements!H9</f>
        <v>10000</v>
      </c>
      <c r="J40" s="93">
        <f t="shared" si="0"/>
        <v>0</v>
      </c>
    </row>
    <row r="41" spans="3:10" ht="12.75">
      <c r="C41" s="102" t="str">
        <f>Statements!F10</f>
        <v>Short Term Notes Payable (Exp)</v>
      </c>
      <c r="H41" s="103">
        <f>Statements!I10</f>
        <v>0</v>
      </c>
      <c r="I41" s="103">
        <f>Statements!H10</f>
        <v>0</v>
      </c>
      <c r="J41" s="93">
        <f t="shared" si="0"/>
        <v>0</v>
      </c>
    </row>
    <row r="43" spans="8:10" ht="12.75">
      <c r="H43" s="108" t="s">
        <v>59</v>
      </c>
      <c r="I43" s="108" t="s">
        <v>58</v>
      </c>
      <c r="J43" s="90" t="s">
        <v>298</v>
      </c>
    </row>
    <row r="44" spans="8:10" ht="12.75">
      <c r="H44" s="91" t="s">
        <v>295</v>
      </c>
      <c r="I44" s="91" t="s">
        <v>295</v>
      </c>
      <c r="J44" s="104" t="s">
        <v>240</v>
      </c>
    </row>
    <row r="45" spans="8:10" ht="12.75">
      <c r="H45" s="91" t="s">
        <v>297</v>
      </c>
      <c r="I45" s="91" t="s">
        <v>297</v>
      </c>
      <c r="J45" s="99" t="s">
        <v>301</v>
      </c>
    </row>
    <row r="46" spans="8:10" ht="12.75">
      <c r="H46" s="104" t="s">
        <v>296</v>
      </c>
      <c r="I46" s="104" t="s">
        <v>296</v>
      </c>
      <c r="J46" s="91" t="s">
        <v>238</v>
      </c>
    </row>
    <row r="47" spans="2:10" ht="12.75">
      <c r="B47" s="101" t="str">
        <f>Statements!K19</f>
        <v>Non-Cash Interest Expense</v>
      </c>
      <c r="H47" s="110" t="s">
        <v>123</v>
      </c>
      <c r="I47" s="110" t="s">
        <v>123</v>
      </c>
      <c r="J47" s="92" t="s">
        <v>299</v>
      </c>
    </row>
    <row r="48" spans="3:10" ht="12.75">
      <c r="C48" s="102" t="str">
        <f>Statements!F7</f>
        <v>Accrued Interest (Exp)</v>
      </c>
      <c r="H48" s="100">
        <f>Statements!I7</f>
        <v>11888.605311826994</v>
      </c>
      <c r="I48" s="100">
        <f>Statements!H7</f>
        <v>12539.500790295042</v>
      </c>
      <c r="J48" s="93">
        <f>H48-I48</f>
        <v>-650.8954784680482</v>
      </c>
    </row>
    <row r="51" spans="2:10" ht="12.75">
      <c r="B51" s="101" t="str">
        <f>Statements!K24</f>
        <v>Income &amp; SS Taxes (Cash &amp; Non-Cash)</v>
      </c>
      <c r="H51" s="620" t="s">
        <v>315</v>
      </c>
      <c r="I51" s="566"/>
      <c r="J51" s="567"/>
    </row>
    <row r="52" spans="3:10" ht="12.75">
      <c r="C52" s="102" t="str">
        <f>Statements!F12</f>
        <v>Def. Tax on Current Assets</v>
      </c>
      <c r="H52" s="97">
        <f>Statements!I12</f>
        <v>0</v>
      </c>
      <c r="I52" s="97">
        <f>Statements!H12</f>
        <v>0</v>
      </c>
      <c r="J52" s="93">
        <f>H52-I52</f>
        <v>0</v>
      </c>
    </row>
    <row r="57" spans="3:7" ht="12.75">
      <c r="C57" s="102" t="str">
        <f>Statements!$F$11</f>
        <v>Other Current Liab. (Not Adj.)</v>
      </c>
      <c r="G57" t="s">
        <v>317</v>
      </c>
    </row>
    <row r="58" ht="12.75">
      <c r="G58" t="s">
        <v>318</v>
      </c>
    </row>
    <row r="59" ht="12.75">
      <c r="G59" t="s">
        <v>320</v>
      </c>
    </row>
    <row r="60" ht="12.75">
      <c r="G60" t="s">
        <v>319</v>
      </c>
    </row>
  </sheetData>
  <sheetProtection formatColumns="0" formatRows="0"/>
  <mergeCells count="3">
    <mergeCell ref="B8:K8"/>
    <mergeCell ref="B22:K22"/>
    <mergeCell ref="H51:J51"/>
  </mergeCells>
  <conditionalFormatting sqref="J14:J17 J28 J48 J52 J36:J41 J19">
    <cfRule type="cellIs" priority="1" dxfId="0" operator="lessThan" stopIfTrue="1">
      <formula>0</formula>
    </cfRule>
  </conditionalFormatting>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8"/>
  <dimension ref="A1:P58"/>
  <sheetViews>
    <sheetView showGridLines="0" zoomScalePageLayoutView="0" workbookViewId="0" topLeftCell="A1">
      <selection activeCell="I8" sqref="I8"/>
    </sheetView>
  </sheetViews>
  <sheetFormatPr defaultColWidth="9.140625" defaultRowHeight="12.75"/>
  <cols>
    <col min="1" max="1" width="4.00390625" style="0" customWidth="1"/>
    <col min="2" max="2" width="3.28125" style="0" customWidth="1"/>
    <col min="3" max="3" width="3.7109375" style="0" customWidth="1"/>
    <col min="4" max="4" width="4.140625" style="0" customWidth="1"/>
    <col min="5" max="5" width="4.7109375" style="0" customWidth="1"/>
  </cols>
  <sheetData>
    <row r="1" spans="1:15" ht="15.75">
      <c r="A1" s="117"/>
      <c r="B1" s="117"/>
      <c r="C1" s="117"/>
      <c r="D1" s="117"/>
      <c r="E1" s="117"/>
      <c r="F1" s="117"/>
      <c r="G1" s="117"/>
      <c r="H1" s="117"/>
      <c r="I1" s="117"/>
      <c r="J1" s="117"/>
      <c r="K1" s="117"/>
      <c r="L1" s="117"/>
      <c r="M1" s="117"/>
      <c r="N1" s="117"/>
      <c r="O1" s="117"/>
    </row>
    <row r="2" spans="1:15" ht="15.75">
      <c r="A2" s="117"/>
      <c r="B2" s="117"/>
      <c r="C2" s="117"/>
      <c r="D2" s="117"/>
      <c r="E2" s="117"/>
      <c r="F2" s="117"/>
      <c r="G2" s="117"/>
      <c r="H2" s="117"/>
      <c r="I2" s="117"/>
      <c r="J2" s="117"/>
      <c r="K2" s="117"/>
      <c r="L2" s="117"/>
      <c r="M2" s="117"/>
      <c r="N2" s="117"/>
      <c r="O2" s="117"/>
    </row>
    <row r="3" spans="1:16" ht="15.75">
      <c r="A3" s="117"/>
      <c r="B3" s="118" t="s">
        <v>351</v>
      </c>
      <c r="C3" s="118"/>
      <c r="D3" s="118"/>
      <c r="E3" s="118"/>
      <c r="F3" s="118"/>
      <c r="G3" s="118"/>
      <c r="H3" s="118"/>
      <c r="I3" s="118"/>
      <c r="J3" s="118"/>
      <c r="K3" s="118"/>
      <c r="L3" s="118"/>
      <c r="M3" s="118"/>
      <c r="N3" s="118"/>
      <c r="O3" s="118"/>
      <c r="P3" s="71"/>
    </row>
    <row r="4" spans="1:15" ht="15.75">
      <c r="A4" s="117">
        <v>1</v>
      </c>
      <c r="B4" s="117"/>
      <c r="C4" s="117" t="s">
        <v>322</v>
      </c>
      <c r="D4" s="117"/>
      <c r="E4" s="117"/>
      <c r="F4" s="117"/>
      <c r="G4" s="117"/>
      <c r="H4" s="117"/>
      <c r="I4" s="117"/>
      <c r="J4" s="117"/>
      <c r="K4" s="117"/>
      <c r="L4" s="117"/>
      <c r="M4" s="117"/>
      <c r="N4" s="117"/>
      <c r="O4" s="117"/>
    </row>
    <row r="5" spans="1:15" ht="15.75">
      <c r="A5" s="117"/>
      <c r="B5" s="117"/>
      <c r="C5" s="117"/>
      <c r="D5" s="117" t="s">
        <v>353</v>
      </c>
      <c r="E5" s="117"/>
      <c r="F5" s="117"/>
      <c r="G5" s="117"/>
      <c r="H5" s="117"/>
      <c r="I5" s="117"/>
      <c r="J5" s="117"/>
      <c r="K5" s="117"/>
      <c r="L5" s="117"/>
      <c r="M5" s="117"/>
      <c r="N5" s="117"/>
      <c r="O5" s="117"/>
    </row>
    <row r="6" spans="1:15" ht="15.75">
      <c r="A6" s="117"/>
      <c r="B6" s="117"/>
      <c r="C6" s="117"/>
      <c r="D6" s="117" t="s">
        <v>352</v>
      </c>
      <c r="E6" s="117"/>
      <c r="F6" s="117"/>
      <c r="G6" s="117"/>
      <c r="H6" s="117"/>
      <c r="I6" s="117"/>
      <c r="J6" s="117"/>
      <c r="K6" s="117"/>
      <c r="L6" s="117"/>
      <c r="M6" s="117"/>
      <c r="N6" s="117"/>
      <c r="O6" s="117"/>
    </row>
    <row r="7" spans="1:15" ht="15.75">
      <c r="A7" s="117">
        <v>2</v>
      </c>
      <c r="B7" s="117"/>
      <c r="C7" s="117" t="s">
        <v>354</v>
      </c>
      <c r="D7" s="117"/>
      <c r="E7" s="117"/>
      <c r="F7" s="117"/>
      <c r="G7" s="117"/>
      <c r="H7" s="117"/>
      <c r="I7" s="117"/>
      <c r="J7" s="117"/>
      <c r="K7" s="117"/>
      <c r="L7" s="117"/>
      <c r="M7" s="117"/>
      <c r="N7" s="117"/>
      <c r="O7" s="117"/>
    </row>
    <row r="8" spans="1:15" ht="15.75">
      <c r="A8" s="117"/>
      <c r="B8" s="117"/>
      <c r="C8" s="117"/>
      <c r="D8" s="117" t="s">
        <v>355</v>
      </c>
      <c r="E8" s="117"/>
      <c r="F8" s="117"/>
      <c r="G8" s="117"/>
      <c r="H8" s="117"/>
      <c r="I8" s="117"/>
      <c r="J8" s="117"/>
      <c r="K8" s="117"/>
      <c r="L8" s="117"/>
      <c r="M8" s="117"/>
      <c r="N8" s="117"/>
      <c r="O8" s="117"/>
    </row>
    <row r="9" spans="1:15" ht="15.75">
      <c r="A9" s="117"/>
      <c r="B9" s="117"/>
      <c r="C9" s="117"/>
      <c r="D9" s="117" t="s">
        <v>358</v>
      </c>
      <c r="E9" s="117"/>
      <c r="F9" s="117"/>
      <c r="G9" s="117"/>
      <c r="H9" s="117"/>
      <c r="I9" s="117"/>
      <c r="J9" s="117"/>
      <c r="K9" s="117"/>
      <c r="L9" s="117"/>
      <c r="M9" s="117"/>
      <c r="N9" s="117"/>
      <c r="O9" s="117"/>
    </row>
    <row r="10" spans="1:15" ht="15.75">
      <c r="A10" s="117"/>
      <c r="B10" s="117"/>
      <c r="C10" s="117"/>
      <c r="D10" s="117" t="s">
        <v>356</v>
      </c>
      <c r="E10" s="117"/>
      <c r="F10" s="117"/>
      <c r="G10" s="117"/>
      <c r="H10" s="117"/>
      <c r="I10" s="117"/>
      <c r="J10" s="117"/>
      <c r="K10" s="117"/>
      <c r="L10" s="117"/>
      <c r="M10" s="117"/>
      <c r="N10" s="117"/>
      <c r="O10" s="117"/>
    </row>
    <row r="11" spans="1:15" ht="15.75">
      <c r="A11" s="117">
        <v>3</v>
      </c>
      <c r="B11" s="117"/>
      <c r="C11" s="117" t="s">
        <v>338</v>
      </c>
      <c r="D11" s="117"/>
      <c r="E11" s="117"/>
      <c r="F11" s="117"/>
      <c r="G11" s="117"/>
      <c r="H11" s="117"/>
      <c r="I11" s="117"/>
      <c r="J11" s="117"/>
      <c r="K11" s="117"/>
      <c r="L11" s="117"/>
      <c r="M11" s="117"/>
      <c r="N11" s="117"/>
      <c r="O11" s="117"/>
    </row>
    <row r="12" spans="1:15" ht="15.75">
      <c r="A12" s="117">
        <v>4</v>
      </c>
      <c r="B12" s="117"/>
      <c r="C12" s="117" t="s">
        <v>323</v>
      </c>
      <c r="D12" s="117"/>
      <c r="E12" s="117"/>
      <c r="F12" s="117"/>
      <c r="G12" s="117"/>
      <c r="H12" s="117"/>
      <c r="I12" s="117"/>
      <c r="J12" s="117"/>
      <c r="K12" s="117"/>
      <c r="L12" s="117"/>
      <c r="M12" s="117"/>
      <c r="N12" s="117"/>
      <c r="O12" s="117"/>
    </row>
    <row r="13" spans="1:15" ht="15.75">
      <c r="A13" s="117"/>
      <c r="B13" s="117"/>
      <c r="C13" s="117"/>
      <c r="D13" s="117" t="s">
        <v>347</v>
      </c>
      <c r="E13" s="117"/>
      <c r="F13" s="117"/>
      <c r="G13" s="117"/>
      <c r="H13" s="117"/>
      <c r="I13" s="117"/>
      <c r="J13" s="117"/>
      <c r="K13" s="117"/>
      <c r="L13" s="117"/>
      <c r="M13" s="117"/>
      <c r="N13" s="117"/>
      <c r="O13" s="117"/>
    </row>
    <row r="14" spans="1:15" ht="15.75">
      <c r="A14" s="117"/>
      <c r="B14" s="117"/>
      <c r="C14" s="117"/>
      <c r="D14" s="117" t="s">
        <v>348</v>
      </c>
      <c r="E14" s="117"/>
      <c r="F14" s="117"/>
      <c r="G14" s="117"/>
      <c r="H14" s="117"/>
      <c r="I14" s="117"/>
      <c r="J14" s="117"/>
      <c r="K14" s="117"/>
      <c r="L14" s="117"/>
      <c r="M14" s="117"/>
      <c r="N14" s="117"/>
      <c r="O14" s="117"/>
    </row>
    <row r="15" spans="1:15" ht="15.75">
      <c r="A15" s="117">
        <v>5</v>
      </c>
      <c r="B15" s="117"/>
      <c r="C15" s="117" t="s">
        <v>341</v>
      </c>
      <c r="D15" s="117"/>
      <c r="E15" s="117"/>
      <c r="F15" s="117"/>
      <c r="G15" s="117"/>
      <c r="H15" s="117"/>
      <c r="I15" s="117"/>
      <c r="J15" s="117"/>
      <c r="K15" s="117"/>
      <c r="L15" s="117"/>
      <c r="M15" s="117"/>
      <c r="N15" s="117"/>
      <c r="O15" s="117"/>
    </row>
    <row r="16" spans="1:15" ht="15.75">
      <c r="A16" s="117"/>
      <c r="B16" s="117"/>
      <c r="C16" s="117" t="s">
        <v>343</v>
      </c>
      <c r="D16" s="117"/>
      <c r="E16" s="117"/>
      <c r="F16" s="117"/>
      <c r="G16" s="117"/>
      <c r="H16" s="117"/>
      <c r="I16" s="117"/>
      <c r="J16" s="117"/>
      <c r="K16" s="117"/>
      <c r="L16" s="117"/>
      <c r="M16" s="117"/>
      <c r="N16" s="117"/>
      <c r="O16" s="117"/>
    </row>
    <row r="17" spans="1:15" ht="15.75">
      <c r="A17" s="117"/>
      <c r="B17" s="117"/>
      <c r="C17" s="117" t="s">
        <v>342</v>
      </c>
      <c r="D17" s="117"/>
      <c r="E17" s="117"/>
      <c r="F17" s="117"/>
      <c r="G17" s="117"/>
      <c r="H17" s="117"/>
      <c r="I17" s="117"/>
      <c r="J17" s="117"/>
      <c r="K17" s="117"/>
      <c r="L17" s="117"/>
      <c r="M17" s="117"/>
      <c r="N17" s="117"/>
      <c r="O17" s="117"/>
    </row>
    <row r="18" spans="1:15" ht="15.75">
      <c r="A18" s="117"/>
      <c r="B18" s="117"/>
      <c r="C18" s="117" t="s">
        <v>344</v>
      </c>
      <c r="D18" s="117"/>
      <c r="E18" s="117"/>
      <c r="F18" s="117"/>
      <c r="G18" s="117"/>
      <c r="H18" s="117"/>
      <c r="I18" s="117"/>
      <c r="J18" s="117"/>
      <c r="K18" s="117"/>
      <c r="L18" s="117"/>
      <c r="M18" s="117"/>
      <c r="N18" s="117"/>
      <c r="O18" s="117"/>
    </row>
    <row r="19" spans="1:15" ht="15.75">
      <c r="A19" s="117"/>
      <c r="B19" s="117"/>
      <c r="C19" s="117"/>
      <c r="D19" s="117" t="s">
        <v>345</v>
      </c>
      <c r="E19" s="117"/>
      <c r="F19" s="117"/>
      <c r="G19" s="117"/>
      <c r="H19" s="117"/>
      <c r="I19" s="117"/>
      <c r="J19" s="117"/>
      <c r="K19" s="117"/>
      <c r="L19" s="117"/>
      <c r="M19" s="117"/>
      <c r="N19" s="117"/>
      <c r="O19" s="117"/>
    </row>
    <row r="20" spans="1:15" ht="15.75">
      <c r="A20" s="117"/>
      <c r="B20" s="117"/>
      <c r="C20" s="117"/>
      <c r="D20" s="117"/>
      <c r="E20" s="117" t="s">
        <v>349</v>
      </c>
      <c r="F20" s="117"/>
      <c r="G20" s="117"/>
      <c r="H20" s="117"/>
      <c r="I20" s="117"/>
      <c r="J20" s="117"/>
      <c r="K20" s="117"/>
      <c r="L20" s="117"/>
      <c r="M20" s="117"/>
      <c r="N20" s="117"/>
      <c r="O20" s="117"/>
    </row>
    <row r="21" spans="1:15" ht="15.75">
      <c r="A21" s="117"/>
      <c r="B21" s="117"/>
      <c r="C21" s="117"/>
      <c r="D21" s="117"/>
      <c r="E21" s="117" t="s">
        <v>346</v>
      </c>
      <c r="F21" s="117"/>
      <c r="G21" s="117"/>
      <c r="H21" s="117"/>
      <c r="I21" s="117"/>
      <c r="J21" s="117"/>
      <c r="K21" s="117"/>
      <c r="L21" s="117"/>
      <c r="M21" s="117"/>
      <c r="N21" s="117"/>
      <c r="O21" s="117"/>
    </row>
    <row r="22" spans="1:15" ht="15.75">
      <c r="A22" s="117"/>
      <c r="B22" s="117"/>
      <c r="C22" s="117"/>
      <c r="D22" s="117"/>
      <c r="E22" s="117" t="s">
        <v>350</v>
      </c>
      <c r="F22" s="117"/>
      <c r="G22" s="117"/>
      <c r="H22" s="117"/>
      <c r="I22" s="117"/>
      <c r="J22" s="117"/>
      <c r="K22" s="117"/>
      <c r="L22" s="117"/>
      <c r="M22" s="117"/>
      <c r="N22" s="117"/>
      <c r="O22" s="117"/>
    </row>
    <row r="23" spans="1:15" ht="15.75">
      <c r="A23" s="117">
        <v>6</v>
      </c>
      <c r="B23" s="117"/>
      <c r="C23" s="117" t="s">
        <v>359</v>
      </c>
      <c r="D23" s="117"/>
      <c r="E23" s="117"/>
      <c r="F23" s="117"/>
      <c r="G23" s="117"/>
      <c r="H23" s="117"/>
      <c r="I23" s="117"/>
      <c r="J23" s="117"/>
      <c r="K23" s="117"/>
      <c r="L23" s="117"/>
      <c r="M23" s="117"/>
      <c r="N23" s="117"/>
      <c r="O23" s="117"/>
    </row>
    <row r="24" spans="1:15" ht="15.75">
      <c r="A24" s="117"/>
      <c r="B24" s="117"/>
      <c r="C24" s="117" t="s">
        <v>361</v>
      </c>
      <c r="D24" s="117"/>
      <c r="E24" s="117"/>
      <c r="F24" s="117"/>
      <c r="G24" s="117"/>
      <c r="H24" s="117"/>
      <c r="I24" s="117"/>
      <c r="J24" s="117"/>
      <c r="K24" s="117"/>
      <c r="L24" s="117"/>
      <c r="M24" s="117"/>
      <c r="N24" s="117"/>
      <c r="O24" s="117"/>
    </row>
    <row r="25" spans="1:15" ht="15.75">
      <c r="A25" s="117"/>
      <c r="B25" s="117"/>
      <c r="C25" s="117"/>
      <c r="D25" s="117" t="s">
        <v>362</v>
      </c>
      <c r="E25" s="117"/>
      <c r="F25" s="117"/>
      <c r="G25" s="117"/>
      <c r="H25" s="117"/>
      <c r="I25" s="117"/>
      <c r="J25" s="117"/>
      <c r="K25" s="117"/>
      <c r="L25" s="117"/>
      <c r="M25" s="117"/>
      <c r="N25" s="117"/>
      <c r="O25" s="117"/>
    </row>
    <row r="26" spans="1:15" ht="15.75">
      <c r="A26" s="117"/>
      <c r="B26" s="117"/>
      <c r="C26" s="117"/>
      <c r="D26" s="117" t="s">
        <v>363</v>
      </c>
      <c r="E26" s="117"/>
      <c r="F26" s="117"/>
      <c r="G26" s="117"/>
      <c r="H26" s="117"/>
      <c r="I26" s="117"/>
      <c r="J26" s="117"/>
      <c r="K26" s="117"/>
      <c r="L26" s="117"/>
      <c r="M26" s="117"/>
      <c r="N26" s="117"/>
      <c r="O26" s="117"/>
    </row>
    <row r="27" spans="1:15" ht="15.75">
      <c r="A27" s="117"/>
      <c r="B27" s="117"/>
      <c r="D27" s="117" t="s">
        <v>365</v>
      </c>
      <c r="E27" s="117"/>
      <c r="F27" s="117"/>
      <c r="G27" s="117"/>
      <c r="H27" s="117"/>
      <c r="I27" s="117"/>
      <c r="J27" s="117"/>
      <c r="K27" s="117"/>
      <c r="L27" s="117"/>
      <c r="M27" s="117"/>
      <c r="N27" s="117"/>
      <c r="O27" s="117"/>
    </row>
    <row r="28" spans="1:15" ht="15.75">
      <c r="A28" s="117"/>
      <c r="B28" s="117"/>
      <c r="D28" s="117" t="s">
        <v>364</v>
      </c>
      <c r="E28" s="117"/>
      <c r="F28" s="117"/>
      <c r="G28" s="117"/>
      <c r="H28" s="117"/>
      <c r="I28" s="117"/>
      <c r="J28" s="117"/>
      <c r="K28" s="117"/>
      <c r="L28" s="117"/>
      <c r="M28" s="117"/>
      <c r="N28" s="117"/>
      <c r="O28" s="117"/>
    </row>
    <row r="29" spans="1:15" ht="15.75">
      <c r="A29" s="117"/>
      <c r="B29" s="117"/>
      <c r="D29" s="117" t="s">
        <v>360</v>
      </c>
      <c r="E29" s="117"/>
      <c r="F29" s="117"/>
      <c r="G29" s="117"/>
      <c r="H29" s="117"/>
      <c r="I29" s="117"/>
      <c r="J29" s="117"/>
      <c r="K29" s="117"/>
      <c r="L29" s="117"/>
      <c r="M29" s="117"/>
      <c r="N29" s="117"/>
      <c r="O29" s="117"/>
    </row>
    <row r="30" spans="1:15" ht="15.75">
      <c r="A30" s="117"/>
      <c r="B30" s="117"/>
      <c r="C30" s="117"/>
      <c r="D30" s="117" t="s">
        <v>367</v>
      </c>
      <c r="E30" s="117"/>
      <c r="F30" s="117"/>
      <c r="G30" s="117"/>
      <c r="H30" s="117"/>
      <c r="I30" s="117"/>
      <c r="J30" s="117"/>
      <c r="K30" s="117"/>
      <c r="L30" s="117"/>
      <c r="M30" s="117"/>
      <c r="N30" s="117"/>
      <c r="O30" s="117"/>
    </row>
    <row r="31" spans="1:15" ht="15.75">
      <c r="A31" s="117"/>
      <c r="B31" s="117"/>
      <c r="C31" s="117"/>
      <c r="D31" s="119" t="s">
        <v>368</v>
      </c>
      <c r="E31" s="117"/>
      <c r="F31" s="117"/>
      <c r="G31" s="117"/>
      <c r="H31" s="117"/>
      <c r="I31" s="117"/>
      <c r="J31" s="117"/>
      <c r="K31" s="117"/>
      <c r="L31" s="117"/>
      <c r="M31" s="117"/>
      <c r="N31" s="117"/>
      <c r="O31" s="117"/>
    </row>
    <row r="32" spans="1:15" ht="15.75">
      <c r="A32" s="117"/>
      <c r="B32" s="117"/>
      <c r="C32" s="117"/>
      <c r="D32" s="117" t="s">
        <v>366</v>
      </c>
      <c r="E32" s="117"/>
      <c r="F32" s="117"/>
      <c r="G32" s="117"/>
      <c r="H32" s="117"/>
      <c r="I32" s="117"/>
      <c r="J32" s="117"/>
      <c r="K32" s="117"/>
      <c r="L32" s="117"/>
      <c r="M32" s="117"/>
      <c r="N32" s="117"/>
      <c r="O32" s="117"/>
    </row>
    <row r="33" spans="1:15" ht="15.75">
      <c r="A33" s="117">
        <v>7</v>
      </c>
      <c r="B33" s="117"/>
      <c r="C33" s="117" t="s">
        <v>373</v>
      </c>
      <c r="D33" s="117"/>
      <c r="E33" s="117"/>
      <c r="F33" s="117"/>
      <c r="G33" s="117"/>
      <c r="H33" s="117"/>
      <c r="I33" s="117"/>
      <c r="J33" s="117"/>
      <c r="K33" s="117"/>
      <c r="L33" s="117"/>
      <c r="M33" s="117"/>
      <c r="N33" s="117"/>
      <c r="O33" s="117"/>
    </row>
    <row r="34" spans="1:15" ht="15.75">
      <c r="A34" s="117"/>
      <c r="B34" s="117"/>
      <c r="C34" s="117" t="s">
        <v>374</v>
      </c>
      <c r="D34" s="117"/>
      <c r="E34" s="117"/>
      <c r="F34" s="117"/>
      <c r="G34" s="117"/>
      <c r="H34" s="117"/>
      <c r="I34" s="117"/>
      <c r="J34" s="117"/>
      <c r="K34" s="117"/>
      <c r="L34" s="117"/>
      <c r="M34" s="117"/>
      <c r="N34" s="117"/>
      <c r="O34" s="117"/>
    </row>
    <row r="35" spans="1:15" ht="15.75">
      <c r="A35" s="117"/>
      <c r="B35" s="117"/>
      <c r="C35" s="117"/>
      <c r="D35" s="117"/>
      <c r="E35" s="117"/>
      <c r="F35" s="117"/>
      <c r="G35" s="117"/>
      <c r="H35" s="117"/>
      <c r="I35" s="117"/>
      <c r="J35" s="117"/>
      <c r="K35" s="117"/>
      <c r="L35" s="117"/>
      <c r="M35" s="117"/>
      <c r="N35" s="117"/>
      <c r="O35" s="117"/>
    </row>
    <row r="36" spans="1:15" ht="15.75">
      <c r="A36" s="117"/>
      <c r="B36" s="117"/>
      <c r="C36" s="117"/>
      <c r="D36" s="117"/>
      <c r="E36" s="117"/>
      <c r="F36" s="117"/>
      <c r="G36" s="117"/>
      <c r="H36" s="117"/>
      <c r="I36" s="117"/>
      <c r="J36" s="117"/>
      <c r="K36" s="117"/>
      <c r="L36" s="117"/>
      <c r="M36" s="117"/>
      <c r="N36" s="117"/>
      <c r="O36" s="117"/>
    </row>
    <row r="37" spans="1:15" ht="15.75">
      <c r="A37" s="117"/>
      <c r="B37" s="117"/>
      <c r="C37" s="117"/>
      <c r="D37" s="117"/>
      <c r="E37" s="117"/>
      <c r="F37" s="117"/>
      <c r="G37" s="117"/>
      <c r="H37" s="117"/>
      <c r="I37" s="117"/>
      <c r="J37" s="117"/>
      <c r="K37" s="117"/>
      <c r="L37" s="117"/>
      <c r="M37" s="117"/>
      <c r="N37" s="117"/>
      <c r="O37" s="117"/>
    </row>
    <row r="38" spans="1:15" ht="15.75">
      <c r="A38" s="117"/>
      <c r="B38" s="117"/>
      <c r="C38" s="117"/>
      <c r="D38" s="117"/>
      <c r="E38" s="117"/>
      <c r="F38" s="117"/>
      <c r="G38" s="117"/>
      <c r="H38" s="117"/>
      <c r="I38" s="117"/>
      <c r="J38" s="117"/>
      <c r="K38" s="117"/>
      <c r="L38" s="117"/>
      <c r="M38" s="117"/>
      <c r="N38" s="117"/>
      <c r="O38" s="117"/>
    </row>
    <row r="39" spans="1:15" ht="15.75">
      <c r="A39" s="117"/>
      <c r="B39" s="117"/>
      <c r="C39" s="117"/>
      <c r="D39" s="117"/>
      <c r="E39" s="117"/>
      <c r="F39" s="117"/>
      <c r="G39" s="117"/>
      <c r="H39" s="117"/>
      <c r="I39" s="117"/>
      <c r="J39" s="117"/>
      <c r="K39" s="117"/>
      <c r="L39" s="117"/>
      <c r="M39" s="117"/>
      <c r="N39" s="117"/>
      <c r="O39" s="117"/>
    </row>
    <row r="40" spans="1:15" ht="15.75">
      <c r="A40" s="117"/>
      <c r="B40" s="117"/>
      <c r="C40" s="117"/>
      <c r="D40" s="117"/>
      <c r="E40" s="117"/>
      <c r="F40" s="117"/>
      <c r="G40" s="117"/>
      <c r="H40" s="117"/>
      <c r="I40" s="117"/>
      <c r="J40" s="117"/>
      <c r="K40" s="117"/>
      <c r="L40" s="117"/>
      <c r="M40" s="117"/>
      <c r="N40" s="117"/>
      <c r="O40" s="117"/>
    </row>
    <row r="41" spans="1:15" ht="15.75">
      <c r="A41" s="117"/>
      <c r="B41" s="117"/>
      <c r="C41" s="117"/>
      <c r="D41" s="117"/>
      <c r="E41" s="117"/>
      <c r="F41" s="117"/>
      <c r="G41" s="117"/>
      <c r="H41" s="117"/>
      <c r="I41" s="117"/>
      <c r="J41" s="117"/>
      <c r="K41" s="117"/>
      <c r="L41" s="117"/>
      <c r="M41" s="117"/>
      <c r="N41" s="117"/>
      <c r="O41" s="117"/>
    </row>
    <row r="42" spans="1:15" ht="15.75">
      <c r="A42" s="117"/>
      <c r="B42" s="117"/>
      <c r="C42" s="117"/>
      <c r="D42" s="117"/>
      <c r="E42" s="117"/>
      <c r="F42" s="117"/>
      <c r="G42" s="117"/>
      <c r="H42" s="117"/>
      <c r="I42" s="117"/>
      <c r="J42" s="117"/>
      <c r="K42" s="117"/>
      <c r="L42" s="117"/>
      <c r="M42" s="117"/>
      <c r="N42" s="117"/>
      <c r="O42" s="117"/>
    </row>
    <row r="43" spans="1:15" ht="15.75">
      <c r="A43" s="117"/>
      <c r="B43" s="117"/>
      <c r="C43" s="117"/>
      <c r="D43" s="117"/>
      <c r="E43" s="117"/>
      <c r="F43" s="117"/>
      <c r="G43" s="117"/>
      <c r="H43" s="117"/>
      <c r="I43" s="117"/>
      <c r="J43" s="117"/>
      <c r="K43" s="117"/>
      <c r="L43" s="117"/>
      <c r="M43" s="117"/>
      <c r="N43" s="117"/>
      <c r="O43" s="117"/>
    </row>
    <row r="44" spans="1:15" ht="15.75">
      <c r="A44" s="117"/>
      <c r="B44" s="117"/>
      <c r="C44" s="117"/>
      <c r="D44" s="117"/>
      <c r="E44" s="117"/>
      <c r="F44" s="117"/>
      <c r="G44" s="117"/>
      <c r="H44" s="117"/>
      <c r="I44" s="117"/>
      <c r="J44" s="117"/>
      <c r="K44" s="117"/>
      <c r="L44" s="117"/>
      <c r="M44" s="117"/>
      <c r="N44" s="117"/>
      <c r="O44" s="117"/>
    </row>
    <row r="45" spans="1:15" ht="15.75">
      <c r="A45" s="117"/>
      <c r="B45" s="117"/>
      <c r="C45" s="117"/>
      <c r="D45" s="117"/>
      <c r="E45" s="117"/>
      <c r="F45" s="117"/>
      <c r="G45" s="117"/>
      <c r="H45" s="117"/>
      <c r="I45" s="117"/>
      <c r="J45" s="117"/>
      <c r="K45" s="117"/>
      <c r="L45" s="117"/>
      <c r="M45" s="117"/>
      <c r="N45" s="117"/>
      <c r="O45" s="117"/>
    </row>
    <row r="46" spans="1:15" ht="15.75">
      <c r="A46" s="117"/>
      <c r="B46" s="117"/>
      <c r="C46" s="117"/>
      <c r="D46" s="117"/>
      <c r="E46" s="117"/>
      <c r="F46" s="117"/>
      <c r="G46" s="117"/>
      <c r="H46" s="117"/>
      <c r="I46" s="117"/>
      <c r="J46" s="117"/>
      <c r="K46" s="117"/>
      <c r="L46" s="117"/>
      <c r="M46" s="117"/>
      <c r="N46" s="117"/>
      <c r="O46" s="117"/>
    </row>
    <row r="47" spans="1:15" ht="15.75">
      <c r="A47" s="117"/>
      <c r="B47" s="117"/>
      <c r="C47" s="117"/>
      <c r="D47" s="117"/>
      <c r="E47" s="117"/>
      <c r="F47" s="117"/>
      <c r="G47" s="117"/>
      <c r="H47" s="117"/>
      <c r="I47" s="117"/>
      <c r="J47" s="117"/>
      <c r="K47" s="117"/>
      <c r="L47" s="117"/>
      <c r="M47" s="117"/>
      <c r="N47" s="117"/>
      <c r="O47" s="117"/>
    </row>
    <row r="48" spans="1:15" ht="15.75">
      <c r="A48" s="117"/>
      <c r="B48" s="117"/>
      <c r="C48" s="117"/>
      <c r="D48" s="117"/>
      <c r="E48" s="117"/>
      <c r="F48" s="117"/>
      <c r="G48" s="117"/>
      <c r="H48" s="117"/>
      <c r="I48" s="117"/>
      <c r="J48" s="117"/>
      <c r="K48" s="117"/>
      <c r="L48" s="117"/>
      <c r="M48" s="117"/>
      <c r="N48" s="117"/>
      <c r="O48" s="117"/>
    </row>
    <row r="49" spans="1:15" ht="15.75">
      <c r="A49" s="117"/>
      <c r="B49" s="117"/>
      <c r="C49" s="117"/>
      <c r="D49" s="117"/>
      <c r="E49" s="117"/>
      <c r="F49" s="117"/>
      <c r="G49" s="117"/>
      <c r="H49" s="117"/>
      <c r="I49" s="117"/>
      <c r="J49" s="117"/>
      <c r="K49" s="117"/>
      <c r="L49" s="117"/>
      <c r="M49" s="117"/>
      <c r="N49" s="117"/>
      <c r="O49" s="117"/>
    </row>
    <row r="50" spans="1:15" ht="15.75">
      <c r="A50" s="117"/>
      <c r="B50" s="117"/>
      <c r="C50" s="117"/>
      <c r="D50" s="117"/>
      <c r="E50" s="117"/>
      <c r="F50" s="117"/>
      <c r="G50" s="117"/>
      <c r="H50" s="117"/>
      <c r="I50" s="117"/>
      <c r="J50" s="117"/>
      <c r="K50" s="117"/>
      <c r="L50" s="117"/>
      <c r="M50" s="117"/>
      <c r="N50" s="117"/>
      <c r="O50" s="117"/>
    </row>
    <row r="51" spans="1:15" ht="15.75">
      <c r="A51" s="117"/>
      <c r="B51" s="117"/>
      <c r="C51" s="117"/>
      <c r="D51" s="117"/>
      <c r="E51" s="117"/>
      <c r="F51" s="117"/>
      <c r="G51" s="117"/>
      <c r="H51" s="117"/>
      <c r="I51" s="117"/>
      <c r="J51" s="117"/>
      <c r="K51" s="117"/>
      <c r="L51" s="117"/>
      <c r="M51" s="117"/>
      <c r="N51" s="117"/>
      <c r="O51" s="117"/>
    </row>
    <row r="52" spans="1:15" ht="15.75">
      <c r="A52" s="117"/>
      <c r="B52" s="117"/>
      <c r="C52" s="117"/>
      <c r="D52" s="117"/>
      <c r="E52" s="117"/>
      <c r="F52" s="117"/>
      <c r="G52" s="117"/>
      <c r="H52" s="117"/>
      <c r="I52" s="117"/>
      <c r="J52" s="117"/>
      <c r="K52" s="117"/>
      <c r="L52" s="117"/>
      <c r="M52" s="117"/>
      <c r="N52" s="117"/>
      <c r="O52" s="117"/>
    </row>
    <row r="53" spans="1:15" ht="15.75">
      <c r="A53" s="117"/>
      <c r="B53" s="117"/>
      <c r="C53" s="117"/>
      <c r="D53" s="117"/>
      <c r="E53" s="117"/>
      <c r="F53" s="117"/>
      <c r="G53" s="117"/>
      <c r="H53" s="117"/>
      <c r="I53" s="117"/>
      <c r="J53" s="117"/>
      <c r="K53" s="117"/>
      <c r="L53" s="117"/>
      <c r="M53" s="117"/>
      <c r="N53" s="117"/>
      <c r="O53" s="117"/>
    </row>
    <row r="54" spans="1:15" ht="15.75">
      <c r="A54" s="117"/>
      <c r="B54" s="117"/>
      <c r="C54" s="117"/>
      <c r="D54" s="117"/>
      <c r="E54" s="117"/>
      <c r="F54" s="117"/>
      <c r="G54" s="117"/>
      <c r="H54" s="117"/>
      <c r="I54" s="117"/>
      <c r="J54" s="117"/>
      <c r="K54" s="117"/>
      <c r="L54" s="117"/>
      <c r="M54" s="117"/>
      <c r="N54" s="117"/>
      <c r="O54" s="117"/>
    </row>
    <row r="55" spans="1:15" ht="15.75">
      <c r="A55" s="117"/>
      <c r="B55" s="117"/>
      <c r="C55" s="117"/>
      <c r="D55" s="117"/>
      <c r="E55" s="117"/>
      <c r="F55" s="117"/>
      <c r="G55" s="117"/>
      <c r="H55" s="117"/>
      <c r="I55" s="117"/>
      <c r="J55" s="117"/>
      <c r="K55" s="117"/>
      <c r="L55" s="117"/>
      <c r="M55" s="117"/>
      <c r="N55" s="117"/>
      <c r="O55" s="117"/>
    </row>
    <row r="56" spans="1:15" ht="15.75">
      <c r="A56" s="117"/>
      <c r="B56" s="117"/>
      <c r="C56" s="117"/>
      <c r="D56" s="117"/>
      <c r="E56" s="117"/>
      <c r="F56" s="117"/>
      <c r="G56" s="117"/>
      <c r="H56" s="117"/>
      <c r="I56" s="117"/>
      <c r="J56" s="117"/>
      <c r="K56" s="117"/>
      <c r="L56" s="117"/>
      <c r="M56" s="117"/>
      <c r="N56" s="117"/>
      <c r="O56" s="117"/>
    </row>
    <row r="57" spans="1:15" ht="15.75">
      <c r="A57" s="117"/>
      <c r="B57" s="117"/>
      <c r="C57" s="117"/>
      <c r="D57" s="117"/>
      <c r="E57" s="117"/>
      <c r="F57" s="117"/>
      <c r="G57" s="117"/>
      <c r="H57" s="117"/>
      <c r="I57" s="117"/>
      <c r="J57" s="117"/>
      <c r="K57" s="117"/>
      <c r="L57" s="117"/>
      <c r="M57" s="117"/>
      <c r="N57" s="117"/>
      <c r="O57" s="117"/>
    </row>
    <row r="58" spans="1:15" ht="15.75">
      <c r="A58" s="117"/>
      <c r="B58" s="117"/>
      <c r="C58" s="117"/>
      <c r="D58" s="117"/>
      <c r="E58" s="117"/>
      <c r="F58" s="117"/>
      <c r="G58" s="117"/>
      <c r="H58" s="117"/>
      <c r="I58" s="117"/>
      <c r="J58" s="117"/>
      <c r="K58" s="117"/>
      <c r="L58" s="117"/>
      <c r="M58" s="117"/>
      <c r="N58" s="117"/>
      <c r="O58" s="117"/>
    </row>
  </sheetData>
  <sheetProtection/>
  <printOptions/>
  <pageMargins left="0.75" right="0.75" top="1" bottom="1" header="0.5" footer="0.5"/>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Farm Financial Standards Concept Software</dc:title>
  <dc:subject/>
  <dc:creator>Duane Griffith</dc:creator>
  <cp:keywords/>
  <dc:description/>
  <cp:lastModifiedBy>Duane Griffith</cp:lastModifiedBy>
  <cp:lastPrinted>2005-02-11T23:16:19Z</cp:lastPrinted>
  <dcterms:created xsi:type="dcterms:W3CDTF">2000-02-21T03:12:08Z</dcterms:created>
  <dcterms:modified xsi:type="dcterms:W3CDTF">2008-11-11T19:22:45Z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